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nnual EOY Reporting\2022\UAA Reporting\"/>
    </mc:Choice>
  </mc:AlternateContent>
  <xr:revisionPtr revIDLastSave="0" documentId="13_ncr:1_{2BC61FED-4C50-4DE9-BEEF-5A7F1E2612F5}" xr6:coauthVersionLast="47" xr6:coauthVersionMax="47" xr10:uidLastSave="{00000000-0000-0000-0000-000000000000}"/>
  <bookViews>
    <workbookView xWindow="32115" yWindow="5925" windowWidth="21600" windowHeight="12735" xr2:uid="{00000000-000D-0000-FFFF-FFFF00000000}"/>
  </bookViews>
  <sheets>
    <sheet name="UAA 1998-202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M22" i="2"/>
  <c r="L22" i="2"/>
  <c r="N69" i="2"/>
  <c r="M69" i="2"/>
  <c r="L69" i="2"/>
  <c r="L45" i="2"/>
  <c r="L46" i="2"/>
  <c r="L47" i="2"/>
  <c r="N47" i="2"/>
  <c r="N46" i="2"/>
  <c r="S68" i="2" l="1"/>
  <c r="N68" i="2"/>
  <c r="M68" i="2"/>
  <c r="L68" i="2"/>
  <c r="S46" i="2"/>
  <c r="M46" i="2"/>
  <c r="S21" i="2"/>
  <c r="M21" i="2"/>
  <c r="L21" i="2"/>
  <c r="S67" i="2"/>
  <c r="M67" i="2"/>
  <c r="Q67" i="2" s="1"/>
  <c r="L67" i="2"/>
  <c r="N67" i="2" s="1"/>
  <c r="M45" i="2"/>
  <c r="S45" i="2"/>
  <c r="M20" i="2"/>
  <c r="L20" i="2"/>
  <c r="Q68" i="2" l="1"/>
  <c r="N20" i="2"/>
  <c r="N45" i="2"/>
  <c r="Q46" i="2"/>
  <c r="N21" i="2"/>
  <c r="Q21" i="2"/>
  <c r="Q45" i="2"/>
  <c r="S20" i="2" l="1"/>
  <c r="Q20" i="2" l="1"/>
  <c r="S22" i="2"/>
  <c r="Q47" i="2"/>
  <c r="S47" i="2"/>
  <c r="S69" i="2"/>
  <c r="Q69" i="2" l="1"/>
  <c r="Q22" i="2"/>
  <c r="S66" i="2"/>
  <c r="S44" i="2"/>
  <c r="M66" i="2"/>
  <c r="T69" i="2" s="1"/>
  <c r="L66" i="2"/>
  <c r="N66" i="2" s="1"/>
  <c r="M44" i="2"/>
  <c r="Q44" i="2" s="1"/>
  <c r="L44" i="2"/>
  <c r="S19" i="2"/>
  <c r="L19" i="2"/>
  <c r="M19" i="2"/>
  <c r="T22" i="2" s="1"/>
  <c r="T47" i="2" l="1"/>
  <c r="N44" i="2"/>
  <c r="N19" i="2"/>
  <c r="Q19" i="2"/>
  <c r="Q66" i="2"/>
  <c r="J65" i="2"/>
  <c r="I65" i="2"/>
  <c r="H65" i="2"/>
  <c r="G65" i="2"/>
  <c r="F65" i="2"/>
  <c r="E65" i="2"/>
  <c r="D65" i="2"/>
  <c r="C65" i="2"/>
  <c r="B65" i="2"/>
  <c r="J43" i="2"/>
  <c r="I43" i="2"/>
  <c r="H43" i="2"/>
  <c r="G43" i="2"/>
  <c r="F43" i="2"/>
  <c r="E43" i="2"/>
  <c r="D43" i="2"/>
  <c r="C43" i="2"/>
  <c r="B43" i="2"/>
  <c r="J18" i="2"/>
  <c r="I18" i="2"/>
  <c r="H18" i="2"/>
  <c r="G18" i="2"/>
  <c r="F18" i="2"/>
  <c r="E18" i="2"/>
  <c r="D18" i="2"/>
  <c r="C18" i="2"/>
  <c r="B18" i="2"/>
  <c r="S18" i="2"/>
  <c r="L43" i="2" l="1"/>
  <c r="M65" i="2"/>
  <c r="L65" i="2"/>
  <c r="N65" i="2" s="1"/>
  <c r="M43" i="2"/>
  <c r="L18" i="2"/>
  <c r="M18" i="2"/>
  <c r="J64" i="2"/>
  <c r="I64" i="2"/>
  <c r="H64" i="2"/>
  <c r="G64" i="2"/>
  <c r="F64" i="2"/>
  <c r="E64" i="2"/>
  <c r="D64" i="2"/>
  <c r="C64" i="2"/>
  <c r="B64" i="2"/>
  <c r="B63" i="2"/>
  <c r="J42" i="2"/>
  <c r="I42" i="2"/>
  <c r="H42" i="2"/>
  <c r="G42" i="2"/>
  <c r="F42" i="2"/>
  <c r="E42" i="2"/>
  <c r="D42" i="2"/>
  <c r="C42" i="2"/>
  <c r="B42" i="2"/>
  <c r="B41" i="2"/>
  <c r="J17" i="2"/>
  <c r="I17" i="2"/>
  <c r="H17" i="2"/>
  <c r="G17" i="2"/>
  <c r="F17" i="2"/>
  <c r="E17" i="2"/>
  <c r="E16" i="2"/>
  <c r="D17" i="2"/>
  <c r="C17" i="2"/>
  <c r="C16" i="2"/>
  <c r="B17" i="2"/>
  <c r="P64" i="2"/>
  <c r="S65" i="2" s="1"/>
  <c r="P42" i="2"/>
  <c r="S43" i="2" s="1"/>
  <c r="P63" i="2"/>
  <c r="P41" i="2"/>
  <c r="P62" i="2"/>
  <c r="P40" i="2"/>
  <c r="P61" i="2"/>
  <c r="P39" i="2"/>
  <c r="P60" i="2"/>
  <c r="P38" i="2"/>
  <c r="P59" i="2"/>
  <c r="P37" i="2"/>
  <c r="P58" i="2"/>
  <c r="P36" i="2"/>
  <c r="P57" i="2"/>
  <c r="P35" i="2"/>
  <c r="P56" i="2"/>
  <c r="P34" i="2"/>
  <c r="P55" i="2"/>
  <c r="P33" i="2"/>
  <c r="P54" i="2"/>
  <c r="P32" i="2"/>
  <c r="S9" i="2"/>
  <c r="S8" i="2"/>
  <c r="J62" i="2"/>
  <c r="I62" i="2"/>
  <c r="H62" i="2"/>
  <c r="G62" i="2"/>
  <c r="F62" i="2"/>
  <c r="E62" i="2"/>
  <c r="D62" i="2"/>
  <c r="C62" i="2"/>
  <c r="B62" i="2"/>
  <c r="J63" i="2"/>
  <c r="I63" i="2"/>
  <c r="H63" i="2"/>
  <c r="G63" i="2"/>
  <c r="F63" i="2"/>
  <c r="E63" i="2"/>
  <c r="D63" i="2"/>
  <c r="C63" i="2"/>
  <c r="J41" i="2"/>
  <c r="I41" i="2"/>
  <c r="H41" i="2"/>
  <c r="G41" i="2"/>
  <c r="F41" i="2"/>
  <c r="E41" i="2"/>
  <c r="D41" i="2"/>
  <c r="C41" i="2"/>
  <c r="J16" i="2"/>
  <c r="I16" i="2"/>
  <c r="H16" i="2"/>
  <c r="G16" i="2"/>
  <c r="F16" i="2"/>
  <c r="D16" i="2"/>
  <c r="B16" i="2"/>
  <c r="M15" i="2"/>
  <c r="Q15" i="2" s="1"/>
  <c r="L15" i="2"/>
  <c r="M40" i="2"/>
  <c r="L40" i="2"/>
  <c r="Q4" i="2"/>
  <c r="Q5" i="2"/>
  <c r="I6" i="2"/>
  <c r="H6" i="2" s="1"/>
  <c r="L6" i="2" s="1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J14" i="2"/>
  <c r="L14" i="2"/>
  <c r="M14" i="2"/>
  <c r="L31" i="2"/>
  <c r="M31" i="2"/>
  <c r="Q31" i="2" s="1"/>
  <c r="B32" i="2"/>
  <c r="C32" i="2"/>
  <c r="D32" i="2"/>
  <c r="E32" i="2"/>
  <c r="F32" i="2"/>
  <c r="G32" i="2"/>
  <c r="H32" i="2"/>
  <c r="I32" i="2"/>
  <c r="J32" i="2"/>
  <c r="B33" i="2"/>
  <c r="C33" i="2"/>
  <c r="D33" i="2"/>
  <c r="E33" i="2"/>
  <c r="F33" i="2"/>
  <c r="G33" i="2"/>
  <c r="H33" i="2"/>
  <c r="I33" i="2"/>
  <c r="J33" i="2"/>
  <c r="B34" i="2"/>
  <c r="C34" i="2"/>
  <c r="D34" i="2"/>
  <c r="E34" i="2"/>
  <c r="F34" i="2"/>
  <c r="G34" i="2"/>
  <c r="H34" i="2"/>
  <c r="I34" i="2"/>
  <c r="J34" i="2"/>
  <c r="B35" i="2"/>
  <c r="C35" i="2"/>
  <c r="D35" i="2"/>
  <c r="E35" i="2"/>
  <c r="F35" i="2"/>
  <c r="G35" i="2"/>
  <c r="H35" i="2"/>
  <c r="I35" i="2"/>
  <c r="J35" i="2"/>
  <c r="B36" i="2"/>
  <c r="C36" i="2"/>
  <c r="D36" i="2"/>
  <c r="E36" i="2"/>
  <c r="F36" i="2"/>
  <c r="G36" i="2"/>
  <c r="H36" i="2"/>
  <c r="I36" i="2"/>
  <c r="J36" i="2"/>
  <c r="B37" i="2"/>
  <c r="C37" i="2"/>
  <c r="D37" i="2"/>
  <c r="E37" i="2"/>
  <c r="F37" i="2"/>
  <c r="G37" i="2"/>
  <c r="H37" i="2"/>
  <c r="I37" i="2"/>
  <c r="J37" i="2"/>
  <c r="B38" i="2"/>
  <c r="C38" i="2"/>
  <c r="D38" i="2"/>
  <c r="E38" i="2"/>
  <c r="F38" i="2"/>
  <c r="G38" i="2"/>
  <c r="H38" i="2"/>
  <c r="I38" i="2"/>
  <c r="J38" i="2"/>
  <c r="L39" i="2"/>
  <c r="M39" i="2"/>
  <c r="Q39" i="2" s="1"/>
  <c r="L53" i="2"/>
  <c r="M53" i="2"/>
  <c r="Q53" i="2" s="1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L61" i="2"/>
  <c r="M61" i="2"/>
  <c r="S11" i="2"/>
  <c r="S14" i="2"/>
  <c r="T67" i="2" l="1"/>
  <c r="T68" i="2"/>
  <c r="T45" i="2"/>
  <c r="T46" i="2"/>
  <c r="T20" i="2"/>
  <c r="T21" i="2"/>
  <c r="N43" i="2"/>
  <c r="Q18" i="2"/>
  <c r="T19" i="2"/>
  <c r="N18" i="2"/>
  <c r="Q43" i="2"/>
  <c r="T44" i="2"/>
  <c r="N61" i="2"/>
  <c r="Q65" i="2"/>
  <c r="T66" i="2"/>
  <c r="S36" i="2"/>
  <c r="Q40" i="2"/>
  <c r="S55" i="2"/>
  <c r="S57" i="2"/>
  <c r="S59" i="2"/>
  <c r="S60" i="2"/>
  <c r="S62" i="2"/>
  <c r="Q61" i="2"/>
  <c r="L17" i="2"/>
  <c r="L56" i="2"/>
  <c r="L37" i="2"/>
  <c r="M36" i="2"/>
  <c r="Q36" i="2" s="1"/>
  <c r="M42" i="2"/>
  <c r="T43" i="2" s="1"/>
  <c r="S38" i="2"/>
  <c r="M16" i="2"/>
  <c r="T16" i="2" s="1"/>
  <c r="S58" i="2"/>
  <c r="M58" i="2"/>
  <c r="Q58" i="2" s="1"/>
  <c r="L63" i="2"/>
  <c r="L62" i="2"/>
  <c r="M62" i="2"/>
  <c r="T62" i="2" s="1"/>
  <c r="M34" i="2"/>
  <c r="Q34" i="2" s="1"/>
  <c r="M33" i="2"/>
  <c r="Q33" i="2" s="1"/>
  <c r="L16" i="2"/>
  <c r="N16" i="2" s="1"/>
  <c r="S61" i="2"/>
  <c r="M41" i="2"/>
  <c r="Q41" i="2" s="1"/>
  <c r="M63" i="2"/>
  <c r="M60" i="2"/>
  <c r="Q60" i="2" s="1"/>
  <c r="L58" i="2"/>
  <c r="M57" i="2"/>
  <c r="Q57" i="2" s="1"/>
  <c r="S56" i="2"/>
  <c r="L32" i="2"/>
  <c r="M11" i="2"/>
  <c r="Q11" i="2" s="1"/>
  <c r="L8" i="2"/>
  <c r="M7" i="2"/>
  <c r="S33" i="2"/>
  <c r="S34" i="2"/>
  <c r="S37" i="2"/>
  <c r="L59" i="2"/>
  <c r="M38" i="2"/>
  <c r="Q38" i="2" s="1"/>
  <c r="M37" i="2"/>
  <c r="Q37" i="2" s="1"/>
  <c r="L35" i="2"/>
  <c r="M13" i="2"/>
  <c r="T14" i="2" s="1"/>
  <c r="L11" i="2"/>
  <c r="M9" i="2"/>
  <c r="Q9" i="2" s="1"/>
  <c r="L9" i="2"/>
  <c r="M8" i="2"/>
  <c r="Q8" i="2" s="1"/>
  <c r="L7" i="2"/>
  <c r="S35" i="2"/>
  <c r="S40" i="2"/>
  <c r="L41" i="2"/>
  <c r="M64" i="2"/>
  <c r="T65" i="2" s="1"/>
  <c r="S41" i="2"/>
  <c r="M55" i="2"/>
  <c r="L55" i="2"/>
  <c r="L54" i="2"/>
  <c r="S63" i="2"/>
  <c r="N40" i="2"/>
  <c r="N15" i="2"/>
  <c r="N39" i="2"/>
  <c r="T40" i="2"/>
  <c r="M6" i="2"/>
  <c r="Q6" i="2" s="1"/>
  <c r="L57" i="2"/>
  <c r="L36" i="2"/>
  <c r="S17" i="2"/>
  <c r="S16" i="2"/>
  <c r="S15" i="2"/>
  <c r="S13" i="2"/>
  <c r="S12" i="2"/>
  <c r="L60" i="2"/>
  <c r="S42" i="2"/>
  <c r="S64" i="2"/>
  <c r="L10" i="2"/>
  <c r="L42" i="2"/>
  <c r="L64" i="2"/>
  <c r="S10" i="2"/>
  <c r="M17" i="2"/>
  <c r="S39" i="2"/>
  <c r="L33" i="2"/>
  <c r="M56" i="2"/>
  <c r="M54" i="2"/>
  <c r="L38" i="2"/>
  <c r="M59" i="2"/>
  <c r="Q59" i="2" s="1"/>
  <c r="N14" i="2"/>
  <c r="L13" i="2"/>
  <c r="L12" i="2"/>
  <c r="T15" i="2"/>
  <c r="M35" i="2"/>
  <c r="L34" i="2"/>
  <c r="M32" i="2"/>
  <c r="Q32" i="2" s="1"/>
  <c r="M12" i="2"/>
  <c r="M10" i="2"/>
  <c r="Q14" i="2"/>
  <c r="S26" i="2" l="1"/>
  <c r="S23" i="2"/>
  <c r="S27" i="2"/>
  <c r="Q16" i="2"/>
  <c r="S48" i="2"/>
  <c r="S70" i="2"/>
  <c r="N54" i="2"/>
  <c r="N33" i="2"/>
  <c r="T61" i="2"/>
  <c r="T12" i="2"/>
  <c r="N64" i="2"/>
  <c r="T11" i="2"/>
  <c r="Q12" i="2"/>
  <c r="Q42" i="2"/>
  <c r="N58" i="2"/>
  <c r="N56" i="2"/>
  <c r="Q64" i="2"/>
  <c r="N41" i="2"/>
  <c r="N37" i="2"/>
  <c r="N17" i="2"/>
  <c r="T18" i="2"/>
  <c r="Q56" i="2"/>
  <c r="T34" i="2"/>
  <c r="N36" i="2"/>
  <c r="T58" i="2"/>
  <c r="Q13" i="2"/>
  <c r="N38" i="2"/>
  <c r="T41" i="2"/>
  <c r="T42" i="2"/>
  <c r="N57" i="2"/>
  <c r="T37" i="2"/>
  <c r="N62" i="2"/>
  <c r="T13" i="2"/>
  <c r="N6" i="2"/>
  <c r="N34" i="2"/>
  <c r="N42" i="2"/>
  <c r="Q62" i="2"/>
  <c r="N11" i="2"/>
  <c r="T63" i="2"/>
  <c r="N60" i="2"/>
  <c r="T9" i="2"/>
  <c r="N35" i="2"/>
  <c r="T56" i="2"/>
  <c r="N9" i="2"/>
  <c r="N13" i="2"/>
  <c r="T38" i="2"/>
  <c r="Q7" i="2"/>
  <c r="N32" i="2"/>
  <c r="T59" i="2"/>
  <c r="Q63" i="2"/>
  <c r="N8" i="2"/>
  <c r="T8" i="2"/>
  <c r="N55" i="2"/>
  <c r="Q54" i="2"/>
  <c r="N63" i="2"/>
  <c r="T64" i="2"/>
  <c r="T39" i="2"/>
  <c r="N7" i="2"/>
  <c r="T55" i="2"/>
  <c r="T35" i="2"/>
  <c r="Q55" i="2"/>
  <c r="Q35" i="2"/>
  <c r="N59" i="2"/>
  <c r="Q10" i="2"/>
  <c r="N10" i="2"/>
  <c r="T36" i="2"/>
  <c r="T17" i="2"/>
  <c r="Q17" i="2"/>
  <c r="T10" i="2"/>
  <c r="T33" i="2"/>
  <c r="T57" i="2"/>
  <c r="T60" i="2"/>
  <c r="N12" i="2"/>
  <c r="T26" i="2" l="1"/>
  <c r="T23" i="2"/>
  <c r="T24" i="2" s="1"/>
  <c r="T48" i="2"/>
  <c r="T27" i="2"/>
  <c r="T70" i="2"/>
</calcChain>
</file>

<file path=xl/sharedStrings.xml><?xml version="1.0" encoding="utf-8"?>
<sst xmlns="http://schemas.openxmlformats.org/spreadsheetml/2006/main" count="206" uniqueCount="42">
  <si>
    <t>Forwarded</t>
  </si>
  <si>
    <t>FY2012</t>
  </si>
  <si>
    <t>FY2011</t>
  </si>
  <si>
    <t>FY2008</t>
  </si>
  <si>
    <t>FY2009</t>
  </si>
  <si>
    <t>FY2010</t>
  </si>
  <si>
    <t>FY2004</t>
  </si>
  <si>
    <t>FY1998</t>
  </si>
  <si>
    <t>Volume</t>
  </si>
  <si>
    <t>Unit
Cost</t>
  </si>
  <si>
    <t>Volume
(000)</t>
  </si>
  <si>
    <t>Cost
(000)</t>
  </si>
  <si>
    <t>Returned to Sender</t>
  </si>
  <si>
    <t>Treated As Waste</t>
  </si>
  <si>
    <t>Total UAA</t>
  </si>
  <si>
    <t>RPW</t>
  </si>
  <si>
    <t>UAA</t>
  </si>
  <si>
    <t>Percentage</t>
  </si>
  <si>
    <t>Growth /
Decline</t>
  </si>
  <si>
    <t>-</t>
  </si>
  <si>
    <t>First-Class Mail</t>
  </si>
  <si>
    <t>FY1981</t>
  </si>
  <si>
    <t>FY1993</t>
  </si>
  <si>
    <t>FY2013</t>
  </si>
  <si>
    <t>FY2014</t>
    <phoneticPr fontId="2" type="noConversion"/>
  </si>
  <si>
    <t>Total UAA -  All Classes</t>
    <phoneticPr fontId="2" type="noConversion"/>
  </si>
  <si>
    <t>FY2014</t>
  </si>
  <si>
    <t>FY2015</t>
  </si>
  <si>
    <t>FY2016</t>
  </si>
  <si>
    <t>USPS Marketing Mail</t>
  </si>
  <si>
    <t>FY2017</t>
  </si>
  <si>
    <t xml:space="preserve">      Cumlative Change since 2008</t>
  </si>
  <si>
    <t xml:space="preserve">      Cumlative Change since 2010</t>
  </si>
  <si>
    <t>Average Yearly Change from 2008:</t>
  </si>
  <si>
    <t>Average Yearly Change since 2008:</t>
  </si>
  <si>
    <t>Since 2008, UAA has changed more than RPW by:</t>
  </si>
  <si>
    <t>FY2018</t>
  </si>
  <si>
    <t>FY2019</t>
  </si>
  <si>
    <t>FY2020</t>
  </si>
  <si>
    <t xml:space="preserve">          </t>
  </si>
  <si>
    <t>FY2021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</si>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</sst>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.0;\(&quot;$&quot;#,##0.0\)"/>
    <numFmt numFmtId="169" formatCode="#,##0.0000000"/>
    <numFmt numFmtId="170" formatCode="#,##0.00000000"/>
    <numFmt numFmtId="171" formatCode="#,##0.000000000"/>
    <numFmt numFmtId="172" formatCode="#,##0.00000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Border="0"/>
    <xf numFmtId="17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2" fillId="0" borderId="0"/>
    <xf numFmtId="0" fontId="1" fillId="0" borderId="0"/>
    <xf numFmtId="168" fontId="1" fillId="0" borderId="0"/>
    <xf numFmtId="0" fontId="1" fillId="0" borderId="0"/>
  </cellStyleXfs>
  <cellXfs count="108">
    <xf numFmtId="0" fontId="0" fillId="0" borderId="0" xfId="0"/>
    <xf numFmtId="0" fontId="0" fillId="0" borderId="0" xfId="0" applyFill="1" applyBorder="1"/>
    <xf numFmtId="0" fontId="0" fillId="0" borderId="0" xfId="0" applyBorder="1"/>
    <xf numFmtId="10" fontId="6" fillId="0" borderId="0" xfId="3" applyNumberFormat="1" applyFont="1" applyBorder="1"/>
    <xf numFmtId="10" fontId="0" fillId="0" borderId="0" xfId="3" applyNumberFormat="1" applyFont="1" applyBorder="1"/>
    <xf numFmtId="10" fontId="0" fillId="0" borderId="0" xfId="3" applyNumberFormat="1" applyFont="1" applyFill="1" applyBorder="1"/>
    <xf numFmtId="166" fontId="0" fillId="0" borderId="0" xfId="0" applyNumberFormat="1" applyFill="1" applyBorder="1"/>
    <xf numFmtId="164" fontId="0" fillId="0" borderId="0" xfId="2" applyNumberFormat="1" applyFont="1" applyFill="1" applyBorder="1"/>
    <xf numFmtId="165" fontId="0" fillId="0" borderId="0" xfId="3" applyNumberFormat="1" applyFont="1" applyFill="1" applyBorder="1"/>
    <xf numFmtId="38" fontId="0" fillId="0" borderId="0" xfId="3" applyNumberFormat="1" applyFont="1" applyFill="1" applyBorder="1"/>
    <xf numFmtId="10" fontId="7" fillId="0" borderId="0" xfId="3" applyNumberFormat="1" applyFont="1" applyBorder="1"/>
    <xf numFmtId="166" fontId="0" fillId="0" borderId="0" xfId="1" applyNumberFormat="1" applyFont="1" applyBorder="1"/>
    <xf numFmtId="0" fontId="10" fillId="0" borderId="0" xfId="0" applyFont="1" applyBorder="1"/>
    <xf numFmtId="165" fontId="0" fillId="0" borderId="0" xfId="2" applyNumberFormat="1" applyFont="1" applyBorder="1"/>
    <xf numFmtId="164" fontId="0" fillId="0" borderId="0" xfId="2" applyNumberFormat="1" applyFont="1" applyBorder="1"/>
    <xf numFmtId="0" fontId="4" fillId="0" borderId="0" xfId="0" applyFont="1" applyBorder="1"/>
    <xf numFmtId="10" fontId="4" fillId="0" borderId="0" xfId="3" applyNumberFormat="1" applyFont="1" applyBorder="1"/>
    <xf numFmtId="167" fontId="0" fillId="0" borderId="0" xfId="3" applyNumberFormat="1" applyFont="1" applyBorder="1"/>
    <xf numFmtId="10" fontId="5" fillId="0" borderId="0" xfId="3" applyNumberFormat="1" applyFont="1" applyBorder="1"/>
    <xf numFmtId="10" fontId="8" fillId="0" borderId="0" xfId="3" applyNumberFormat="1" applyFont="1" applyBorder="1"/>
    <xf numFmtId="10" fontId="8" fillId="0" borderId="0" xfId="3" applyNumberFormat="1" applyFont="1" applyFill="1" applyBorder="1"/>
    <xf numFmtId="165" fontId="1" fillId="0" borderId="2" xfId="2" applyNumberFormat="1" applyFont="1" applyFill="1" applyBorder="1" applyAlignment="1">
      <alignment horizontal="right" wrapText="1"/>
    </xf>
    <xf numFmtId="166" fontId="1" fillId="0" borderId="2" xfId="1" applyNumberFormat="1" applyFont="1" applyFill="1" applyBorder="1" applyAlignment="1">
      <alignment horizontal="right" wrapText="1"/>
    </xf>
    <xf numFmtId="164" fontId="1" fillId="0" borderId="2" xfId="2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166" fontId="1" fillId="0" borderId="2" xfId="1" applyNumberFormat="1" applyFont="1" applyFill="1" applyBorder="1" applyAlignment="1">
      <alignment horizontal="right" vertical="center"/>
    </xf>
    <xf numFmtId="10" fontId="1" fillId="0" borderId="2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0" fontId="1" fillId="0" borderId="2" xfId="3" applyNumberFormat="1" applyFont="1" applyFill="1" applyBorder="1" applyAlignment="1">
      <alignment horizontal="center" wrapText="1"/>
    </xf>
    <xf numFmtId="10" fontId="0" fillId="0" borderId="2" xfId="3" applyNumberFormat="1" applyFont="1" applyBorder="1"/>
    <xf numFmtId="165" fontId="0" fillId="0" borderId="2" xfId="2" applyNumberFormat="1" applyFont="1" applyBorder="1" applyAlignment="1">
      <alignment horizontal="right"/>
    </xf>
    <xf numFmtId="166" fontId="0" fillId="0" borderId="2" xfId="1" applyNumberFormat="1" applyFont="1" applyBorder="1" applyAlignment="1">
      <alignment horizontal="right"/>
    </xf>
    <xf numFmtId="164" fontId="0" fillId="0" borderId="2" xfId="2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0" fontId="0" fillId="0" borderId="2" xfId="3" applyNumberFormat="1" applyFont="1" applyBorder="1" applyAlignment="1">
      <alignment horizontal="center"/>
    </xf>
    <xf numFmtId="166" fontId="11" fillId="0" borderId="2" xfId="1" applyNumberFormat="1" applyFont="1" applyBorder="1"/>
    <xf numFmtId="166" fontId="1" fillId="0" borderId="2" xfId="1" applyNumberFormat="1" applyFont="1" applyBorder="1"/>
    <xf numFmtId="10" fontId="7" fillId="0" borderId="2" xfId="3" applyNumberFormat="1" applyFont="1" applyBorder="1"/>
    <xf numFmtId="10" fontId="3" fillId="0" borderId="2" xfId="3" applyNumberFormat="1" applyFont="1" applyBorder="1"/>
    <xf numFmtId="10" fontId="9" fillId="0" borderId="2" xfId="3" applyNumberFormat="1" applyFont="1" applyBorder="1"/>
    <xf numFmtId="166" fontId="0" fillId="0" borderId="2" xfId="1" applyNumberFormat="1" applyFont="1" applyBorder="1"/>
    <xf numFmtId="165" fontId="1" fillId="0" borderId="2" xfId="2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4" fontId="1" fillId="0" borderId="2" xfId="2" applyNumberFormat="1" applyFont="1" applyBorder="1" applyAlignment="1">
      <alignment horizontal="right" wrapText="1"/>
    </xf>
    <xf numFmtId="165" fontId="1" fillId="0" borderId="2" xfId="2" applyNumberFormat="1" applyFont="1" applyBorder="1" applyAlignment="1"/>
    <xf numFmtId="166" fontId="1" fillId="0" borderId="2" xfId="1" applyNumberFormat="1" applyFont="1" applyBorder="1" applyAlignment="1"/>
    <xf numFmtId="3" fontId="1" fillId="0" borderId="2" xfId="0" applyNumberFormat="1" applyFont="1" applyBorder="1" applyAlignment="1"/>
    <xf numFmtId="164" fontId="3" fillId="0" borderId="2" xfId="2" applyNumberFormat="1" applyFont="1" applyBorder="1" applyAlignment="1">
      <alignment horizontal="right"/>
    </xf>
    <xf numFmtId="10" fontId="3" fillId="0" borderId="2" xfId="3" applyNumberFormat="1" applyFon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 wrapText="1"/>
    </xf>
    <xf numFmtId="166" fontId="3" fillId="0" borderId="2" xfId="1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0" fillId="0" borderId="2" xfId="0" applyNumberFormat="1" applyBorder="1"/>
    <xf numFmtId="165" fontId="0" fillId="0" borderId="2" xfId="2" applyNumberFormat="1" applyFont="1" applyBorder="1"/>
    <xf numFmtId="164" fontId="0" fillId="0" borderId="2" xfId="2" applyNumberFormat="1" applyFont="1" applyBorder="1"/>
    <xf numFmtId="0" fontId="0" fillId="0" borderId="2" xfId="0" applyBorder="1"/>
    <xf numFmtId="165" fontId="1" fillId="2" borderId="6" xfId="2" applyNumberFormat="1" applyFont="1" applyFill="1" applyBorder="1" applyAlignment="1">
      <alignment horizontal="center" wrapText="1"/>
    </xf>
    <xf numFmtId="166" fontId="1" fillId="2" borderId="7" xfId="1" applyNumberFormat="1" applyFont="1" applyFill="1" applyBorder="1" applyAlignment="1">
      <alignment horizontal="center" wrapText="1"/>
    </xf>
    <xf numFmtId="164" fontId="1" fillId="2" borderId="7" xfId="2" applyNumberFormat="1" applyFont="1" applyFill="1" applyBorder="1" applyAlignment="1">
      <alignment horizontal="center" wrapText="1"/>
    </xf>
    <xf numFmtId="165" fontId="1" fillId="2" borderId="7" xfId="2" applyNumberFormat="1" applyFont="1" applyFill="1" applyBorder="1" applyAlignment="1">
      <alignment horizontal="center" wrapText="1"/>
    </xf>
    <xf numFmtId="164" fontId="1" fillId="2" borderId="8" xfId="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2" borderId="3" xfId="3" applyNumberFormat="1" applyFont="1" applyFill="1" applyBorder="1" applyAlignment="1">
      <alignment horizontal="center"/>
    </xf>
    <xf numFmtId="10" fontId="1" fillId="2" borderId="5" xfId="3" applyNumberFormat="1" applyFont="1" applyFill="1" applyBorder="1" applyAlignment="1">
      <alignment horizontal="center"/>
    </xf>
    <xf numFmtId="10" fontId="1" fillId="2" borderId="6" xfId="3" applyNumberFormat="1" applyFont="1" applyFill="1" applyBorder="1" applyAlignment="1">
      <alignment horizontal="center" wrapText="1"/>
    </xf>
    <xf numFmtId="10" fontId="1" fillId="2" borderId="8" xfId="3" applyNumberFormat="1" applyFont="1" applyFill="1" applyBorder="1" applyAlignment="1">
      <alignment horizontal="center" wrapText="1"/>
    </xf>
    <xf numFmtId="164" fontId="0" fillId="0" borderId="0" xfId="2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4" fillId="2" borderId="0" xfId="0" applyFont="1" applyFill="1" applyBorder="1" applyAlignment="1">
      <alignment horizontal="center"/>
    </xf>
    <xf numFmtId="165" fontId="0" fillId="0" borderId="0" xfId="2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64" fontId="1" fillId="0" borderId="0" xfId="2" applyNumberFormat="1" applyFont="1" applyBorder="1" applyAlignment="1">
      <alignment horizontal="right" wrapText="1"/>
    </xf>
    <xf numFmtId="165" fontId="1" fillId="0" borderId="0" xfId="2" applyNumberFormat="1" applyFont="1" applyBorder="1" applyAlignment="1"/>
    <xf numFmtId="166" fontId="1" fillId="0" borderId="0" xfId="1" applyNumberFormat="1" applyFont="1" applyBorder="1" applyAlignment="1"/>
    <xf numFmtId="3" fontId="1" fillId="0" borderId="0" xfId="0" applyNumberFormat="1" applyFont="1" applyBorder="1" applyAlignment="1"/>
    <xf numFmtId="0" fontId="0" fillId="0" borderId="0" xfId="0" applyBorder="1" applyAlignment="1"/>
    <xf numFmtId="0" fontId="4" fillId="2" borderId="2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0" fillId="0" borderId="0" xfId="1" applyNumberFormat="1" applyFont="1" applyFill="1" applyBorder="1"/>
    <xf numFmtId="3" fontId="0" fillId="0" borderId="0" xfId="0" applyNumberFormat="1" applyFill="1" applyBorder="1"/>
    <xf numFmtId="165" fontId="1" fillId="0" borderId="2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5" fontId="1" fillId="0" borderId="0" xfId="2" applyNumberFormat="1" applyFont="1" applyFill="1" applyBorder="1" applyAlignment="1"/>
    <xf numFmtId="166" fontId="1" fillId="0" borderId="0" xfId="1" applyNumberFormat="1" applyFont="1" applyFill="1" applyBorder="1" applyAlignment="1"/>
    <xf numFmtId="164" fontId="1" fillId="0" borderId="0" xfId="2" applyNumberFormat="1" applyFont="1" applyFill="1" applyBorder="1" applyAlignment="1">
      <alignment horizontal="right" wrapText="1"/>
    </xf>
    <xf numFmtId="165" fontId="4" fillId="0" borderId="0" xfId="2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3" borderId="0" xfId="0" applyNumberFormat="1" applyFill="1" applyBorder="1"/>
    <xf numFmtId="10" fontId="0" fillId="3" borderId="2" xfId="3" applyNumberFormat="1" applyFont="1" applyFill="1" applyBorder="1" applyAlignment="1">
      <alignment horizontal="center"/>
    </xf>
    <xf numFmtId="166" fontId="0" fillId="3" borderId="0" xfId="1" applyNumberFormat="1" applyFont="1" applyFill="1" applyBorder="1"/>
  </cellXfs>
  <cellStyles count="13">
    <cellStyle name="ac" xfId="4" xr:uid="{00000000-0005-0000-0000-000000000000}"/>
    <cellStyle name="Comma" xfId="1" builtinId="3"/>
    <cellStyle name="Currency" xfId="2" builtinId="4"/>
    <cellStyle name="Milliers [0]_EDYAN" xfId="5" xr:uid="{00000000-0005-0000-0000-000003000000}"/>
    <cellStyle name="Milliers_EDYAN" xfId="6" xr:uid="{00000000-0005-0000-0000-000004000000}"/>
    <cellStyle name="Monétaire [0]_EDYAN" xfId="7" xr:uid="{00000000-0005-0000-0000-000005000000}"/>
    <cellStyle name="Monétaire_EDYAN" xfId="8" xr:uid="{00000000-0005-0000-0000-000006000000}"/>
    <cellStyle name="Normal" xfId="0" builtinId="0"/>
    <cellStyle name="Normal - Style1" xfId="9" xr:uid="{00000000-0005-0000-0000-000008000000}"/>
    <cellStyle name="Normal - Style1 2" xfId="11" xr:uid="{00000000-0005-0000-0000-000009000000}"/>
    <cellStyle name="Normal 2" xfId="10" xr:uid="{00000000-0005-0000-0000-00000A000000}"/>
    <cellStyle name="Normal 3" xfId="12" xr:uid="{00000000-0005-0000-0000-00000B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Comparative%20Analysis%20of%20Wasted%20UA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jysdfc\My%20Documents\PARS17%20BaseTabs%20PRC_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EOY%20Reporting/2018/UAA%20REPORTS/PARS18%20BaseTabs%20PRC_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61\PrePARS%20ClassTabs_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04.csv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8\PARS08%20ClassTabs%20PRC_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08.csv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9\PARS09%20ClassTabs%20PRC_cal2_v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09.csv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0\PARS10%20ClassTabs%20PRC_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0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61\PrePARS%20BaseTabs_v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1\PARS11%20ClassTabs%20PRC_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1.csv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2\PARS12%20ClassTabs%20PRC_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2.csv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3\PARS13%20ClassTabs%20PRC_v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3.csv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4.csv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5.csv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6\PARS16%20ClassTabs%20PRC_v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6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8\PARS08%20BaseTabs%20PRC_v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jysdfc\My%20Documents\PARS17%20ClassTabs%20PRC_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bout.usps.com/who-we-are/financials/revenue-pieces-weight-reports/fy2017.csv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EOY%20Reporting/2018/UAA%20REPORTS/PARS18%20ClassTabs%20PRC_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5\FY2015%20-%20CBH\PARS15%20ClassTabs%20PRC_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09\PARS09%20BaseTabs%20PRC_cal2_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0\PARS10%20BaseTabs%20PRC_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1\PARS11%20BaseTabs%20PRC_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2\PARS12%20BaseTabs%20PRC_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28d0\AppData\Local\Microsoft\Windows\Temporary%20Internet%20Files\Content.Outlook\AP1C2MA8\LR%20FY2013\PARS13%20BaseTabs%20PRC_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phtnsxf00.usa.dce.usps.gov\Redir\Annual%20EOY%20Reporting\2016\PARS16%20BaseTabs%20PRC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e"/>
      <sheetName val="4.71"/>
    </sheetNames>
    <sheetDataSet>
      <sheetData sheetId="0">
        <row r="12">
          <cell r="K12">
            <v>5904266.0204042597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  <sheetName val="#REF"/>
    </sheetNames>
    <sheetDataSet>
      <sheetData sheetId="0" refreshError="1"/>
      <sheetData sheetId="1">
        <row r="41">
          <cell r="E41">
            <v>215815.17810674242</v>
          </cell>
          <cell r="F41">
            <v>883777.80799898237</v>
          </cell>
          <cell r="G41">
            <v>0.24419619519003685</v>
          </cell>
          <cell r="H41">
            <v>726134.10824740469</v>
          </cell>
          <cell r="I41">
            <v>1301908.1742384396</v>
          </cell>
          <cell r="J41">
            <v>0.55774602434780929</v>
          </cell>
          <cell r="K41">
            <v>263933.44370323198</v>
          </cell>
          <cell r="L41">
            <v>3976710.2312108148</v>
          </cell>
          <cell r="M41">
            <v>6.6369795222135278E-2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209088.81601445811</v>
          </cell>
          <cell r="F41">
            <v>844256.75095111423</v>
          </cell>
          <cell r="G41">
            <v>0.24766022395308648</v>
          </cell>
          <cell r="H41">
            <v>743853.02933801454</v>
          </cell>
          <cell r="I41">
            <v>1274451.8954498051</v>
          </cell>
          <cell r="J41">
            <v>0.58366505004528169</v>
          </cell>
          <cell r="K41">
            <v>258007.80845018459</v>
          </cell>
          <cell r="L41">
            <v>3795874.2997866254</v>
          </cell>
          <cell r="M41">
            <v>6.7970588084196509E-2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350467.89982653409</v>
          </cell>
          <cell r="F14">
            <v>1819366.1760404131</v>
          </cell>
          <cell r="G14">
            <v>0.19263186511979502</v>
          </cell>
          <cell r="H14">
            <v>584735.04698559386</v>
          </cell>
          <cell r="I14">
            <v>1466006.3414266154</v>
          </cell>
          <cell r="J14">
            <v>0.39886256318411994</v>
          </cell>
          <cell r="K14">
            <v>3813.3640537427191</v>
          </cell>
          <cell r="L14">
            <v>45979.756417925761</v>
          </cell>
          <cell r="M14">
            <v>8.2935716733289033E-2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E14">
            <v>11221.573973851804</v>
          </cell>
          <cell r="F14">
            <v>32865.500813996121</v>
          </cell>
          <cell r="G14">
            <v>0.34143931161617896</v>
          </cell>
          <cell r="H14">
            <v>165733.30464476353</v>
          </cell>
          <cell r="I14">
            <v>93892.560417783301</v>
          </cell>
          <cell r="J14">
            <v>1.7651377692473018</v>
          </cell>
          <cell r="K14">
            <v>248392.43781582135</v>
          </cell>
          <cell r="L14">
            <v>5981937.2389608957</v>
          </cell>
          <cell r="M14">
            <v>4.1523745217188011E-2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04"/>
    </sheetNames>
    <sheetDataSet>
      <sheetData sheetId="0">
        <row r="25">
          <cell r="K25">
            <v>97926396</v>
          </cell>
        </row>
        <row r="53">
          <cell r="K53">
            <v>95563521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317251.72519219073</v>
          </cell>
          <cell r="F42">
            <v>1621540.2934149399</v>
          </cell>
          <cell r="G42">
            <v>0.19564837610298494</v>
          </cell>
          <cell r="H42">
            <v>520610.13752526877</v>
          </cell>
          <cell r="I42">
            <v>1292473.9932370274</v>
          </cell>
          <cell r="J42">
            <v>0.40280124803238021</v>
          </cell>
          <cell r="K42">
            <v>5012.1845957315181</v>
          </cell>
          <cell r="L42">
            <v>43951.733404163308</v>
          </cell>
          <cell r="M42">
            <v>0.11403838273319936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11966.836862333943</v>
          </cell>
          <cell r="F42">
            <v>31196.888461505776</v>
          </cell>
          <cell r="G42">
            <v>0.38359071857759053</v>
          </cell>
          <cell r="H42">
            <v>169792.79913747823</v>
          </cell>
          <cell r="I42">
            <v>95516.847666842936</v>
          </cell>
          <cell r="J42">
            <v>1.7776214697715462</v>
          </cell>
          <cell r="K42">
            <v>312418.81542391953</v>
          </cell>
          <cell r="L42">
            <v>5952795.6503263572</v>
          </cell>
          <cell r="M42">
            <v>5.2482704560300408E-2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08"/>
    </sheetNames>
    <sheetDataSet>
      <sheetData sheetId="0">
        <row r="26">
          <cell r="K26">
            <v>91696737</v>
          </cell>
        </row>
        <row r="36">
          <cell r="K36">
            <v>99084155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255502.99754541696</v>
          </cell>
          <cell r="F42">
            <v>1226095.8974011508</v>
          </cell>
          <cell r="G42">
            <v>0.20838745002489978</v>
          </cell>
          <cell r="H42">
            <v>611041.34058153757</v>
          </cell>
          <cell r="I42">
            <v>1489470.2509207651</v>
          </cell>
          <cell r="J42">
            <v>0.41024071491444841</v>
          </cell>
          <cell r="K42">
            <v>3681.4421838407584</v>
          </cell>
          <cell r="L42">
            <v>31095.283556831528</v>
          </cell>
          <cell r="M42">
            <v>0.11839230142771791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10985.478500939704</v>
          </cell>
          <cell r="F42">
            <v>25731.104573408425</v>
          </cell>
          <cell r="G42">
            <v>0.42693380960771293</v>
          </cell>
          <cell r="H42">
            <v>107213.78998154277</v>
          </cell>
          <cell r="I42">
            <v>48453.392467538506</v>
          </cell>
          <cell r="J42">
            <v>2.2127199876328776</v>
          </cell>
          <cell r="K42">
            <v>227611.79879792462</v>
          </cell>
          <cell r="L42">
            <v>4173949.2331404826</v>
          </cell>
          <cell r="M42">
            <v>5.453152064972993E-2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09"/>
    </sheetNames>
    <sheetDataSet>
      <sheetData sheetId="0">
        <row r="29">
          <cell r="K29">
            <v>83770183</v>
          </cell>
        </row>
        <row r="42">
          <cell r="K42">
            <v>82706211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2">
          <cell r="E42">
            <v>238992.26758597736</v>
          </cell>
          <cell r="F42">
            <v>1134154.8933696912</v>
          </cell>
          <cell r="G42">
            <v>0.21072277603626668</v>
          </cell>
          <cell r="H42">
            <v>634316.44052749872</v>
          </cell>
          <cell r="I42">
            <v>1507631.4796183063</v>
          </cell>
          <cell r="J42">
            <v>0.42073706280535572</v>
          </cell>
          <cell r="K42">
            <v>5365.4910669702558</v>
          </cell>
          <cell r="L42">
            <v>45285.023956564874</v>
          </cell>
          <cell r="M42">
            <v>0.11848268142944048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8193.7313802269291</v>
          </cell>
          <cell r="F42">
            <v>23753.914335174704</v>
          </cell>
          <cell r="G42">
            <v>0.34494236463982203</v>
          </cell>
          <cell r="H42">
            <v>101676.2257171216</v>
          </cell>
          <cell r="I42">
            <v>46518.3255221375</v>
          </cell>
          <cell r="J42">
            <v>2.1857241114307766</v>
          </cell>
          <cell r="K42">
            <v>221853.50090891853</v>
          </cell>
          <cell r="L42">
            <v>3984514.364947651</v>
          </cell>
          <cell r="M42">
            <v>5.5678931129122249E-2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0"/>
    </sheetNames>
    <sheetDataSet>
      <sheetData sheetId="0">
        <row r="29">
          <cell r="L29">
            <v>78203156</v>
          </cell>
        </row>
        <row r="42">
          <cell r="L42">
            <v>82524808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Forward Cost Summary"/>
      <sheetName val="Table 3.3-RTS Cost Summary"/>
      <sheetName val="Table 3.4-Waste Cost Summary"/>
      <sheetName val="Table 3.5-Form Costs"/>
      <sheetName val="Table 3.6-COA Costs"/>
      <sheetName val="Table 3.7-Route UAA"/>
      <sheetName val="Table 3.8-No Record Mail"/>
      <sheetName val="Table 3.9-Nixie UAA"/>
      <sheetName val="Table 3.10-CFS UAA"/>
      <sheetName val="Table 3.11 - Detailed CFS UAA"/>
      <sheetName val="Table 3.12 - CFS Key Rates"/>
      <sheetName val="Table 3.13 - UAA Mail Process"/>
      <sheetName val="Table 3.14 - Rating Post Due"/>
      <sheetName val="Table 3.15-Accounting Post Due"/>
      <sheetName val="Table 3.16-Delivery Post Due"/>
      <sheetName val="Table 3.17-Window Post Due"/>
      <sheetName val="Table 3.18-Process Form 3546"/>
      <sheetName val="Table 3.19-Notice Inputs"/>
      <sheetName val="Table 3.20-Form 3547 Dist"/>
      <sheetName val="Table 3.21-Form Processing"/>
      <sheetName val="Table 3.22-Man Notice"/>
      <sheetName val="Table 3.23-Elec Notic"/>
      <sheetName val="Table 3.24-Support Costs"/>
      <sheetName val="Table 3.25-Route PKR"/>
      <sheetName val="Table 3.26-PKR Summary"/>
    </sheetNames>
    <sheetDataSet>
      <sheetData sheetId="0"/>
      <sheetData sheetId="1">
        <row r="13">
          <cell r="E13">
            <v>421926.93331022386</v>
          </cell>
          <cell r="F13">
            <v>1985159.9609296939</v>
          </cell>
          <cell r="G13">
            <v>0.21254052147647903</v>
          </cell>
          <cell r="H13">
            <v>822494.19530298805</v>
          </cell>
          <cell r="I13">
            <v>1603289.8666336224</v>
          </cell>
          <cell r="J13">
            <v>0.51300405024697959</v>
          </cell>
          <cell r="K13">
            <v>269804.22212256491</v>
          </cell>
          <cell r="L13">
            <v>6135878.8300332101</v>
          </cell>
          <cell r="M13">
            <v>4.3971569451788636E-2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220263.99198671785</v>
          </cell>
          <cell r="F42">
            <v>1025578.8681435379</v>
          </cell>
          <cell r="G42">
            <v>0.21477040803837055</v>
          </cell>
          <cell r="H42">
            <v>604886.56893672235</v>
          </cell>
          <cell r="I42">
            <v>1423496.8572496851</v>
          </cell>
          <cell r="J42">
            <v>0.42493003469316665</v>
          </cell>
          <cell r="K42">
            <v>7362.1831199347571</v>
          </cell>
          <cell r="L42">
            <v>61171.616057204657</v>
          </cell>
          <cell r="M42">
            <v>0.12035292827722598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7728.2516629457914</v>
          </cell>
          <cell r="F42">
            <v>21290.353988375056</v>
          </cell>
          <cell r="G42">
            <v>0.3629931032225</v>
          </cell>
          <cell r="H42">
            <v>92539.040843627561</v>
          </cell>
          <cell r="I42">
            <v>41920.883050963894</v>
          </cell>
          <cell r="J42">
            <v>2.2074687866457001</v>
          </cell>
          <cell r="K42">
            <v>238181.97947162023</v>
          </cell>
          <cell r="L42">
            <v>4244914.8014433999</v>
          </cell>
          <cell r="M42">
            <v>5.6109955231758983E-2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1"/>
    </sheetNames>
    <sheetDataSet>
      <sheetData sheetId="0">
        <row r="29">
          <cell r="L29">
            <v>73520543</v>
          </cell>
        </row>
        <row r="42">
          <cell r="L42">
            <v>84691971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218897.09291325184</v>
          </cell>
          <cell r="F42">
            <v>1027451.2220139406</v>
          </cell>
          <cell r="G42">
            <v>0.21304864719921646</v>
          </cell>
          <cell r="H42">
            <v>613796.13042648591</v>
          </cell>
          <cell r="I42">
            <v>1446215.0255500851</v>
          </cell>
          <cell r="J42">
            <v>0.42441553958618378</v>
          </cell>
          <cell r="K42">
            <v>7708.1168061280996</v>
          </cell>
          <cell r="L42">
            <v>63476.602449161255</v>
          </cell>
          <cell r="M42">
            <v>0.12143240987577385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6438.6817646142554</v>
          </cell>
          <cell r="F42">
            <v>20385.614130473805</v>
          </cell>
          <cell r="G42">
            <v>0.31584438533000952</v>
          </cell>
          <cell r="H42">
            <v>85613.347316913423</v>
          </cell>
          <cell r="I42">
            <v>42529.10773768292</v>
          </cell>
          <cell r="J42">
            <v>2.0130529858508108</v>
          </cell>
          <cell r="K42">
            <v>227743.3926753652</v>
          </cell>
          <cell r="L42">
            <v>3951921.0696217706</v>
          </cell>
          <cell r="M42">
            <v>5.7628527661146331E-2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"/>
    </sheetNames>
    <sheetDataSet>
      <sheetData sheetId="0">
        <row r="28">
          <cell r="L28">
            <v>69639569</v>
          </cell>
        </row>
        <row r="41">
          <cell r="L41">
            <v>79801009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2">
          <cell r="E42">
            <v>193451.41608967297</v>
          </cell>
          <cell r="F42">
            <v>964551.53280993528</v>
          </cell>
          <cell r="G42">
            <v>0.20056099597510313</v>
          </cell>
          <cell r="H42">
            <v>587878.36457324796</v>
          </cell>
          <cell r="I42">
            <v>1405623.1093691236</v>
          </cell>
          <cell r="J42">
            <v>0.41823328078114869</v>
          </cell>
          <cell r="K42">
            <v>8627.7116144237971</v>
          </cell>
          <cell r="L42">
            <v>74697.529560245428</v>
          </cell>
          <cell r="M42">
            <v>0.11550196727008664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42">
          <cell r="E42">
            <v>6744.528248349432</v>
          </cell>
          <cell r="F42">
            <v>24889.939656816387</v>
          </cell>
          <cell r="G42">
            <v>0.27097406989905531</v>
          </cell>
          <cell r="H42">
            <v>84562.241000740323</v>
          </cell>
          <cell r="I42">
            <v>40681.026770836084</v>
          </cell>
          <cell r="J42">
            <v>2.0786653561399868</v>
          </cell>
          <cell r="K42">
            <v>227734.01130211988</v>
          </cell>
          <cell r="L42">
            <v>4060549.0259727272</v>
          </cell>
          <cell r="M42">
            <v>5.6084536806587364E-2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3"/>
    </sheetNames>
    <sheetDataSet>
      <sheetData sheetId="0">
        <row r="28">
          <cell r="L28">
            <v>66700419</v>
          </cell>
        </row>
        <row r="42">
          <cell r="L42">
            <v>80962678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4"/>
    </sheetNames>
    <sheetDataSet>
      <sheetData sheetId="0">
        <row r="28">
          <cell r="L28">
            <v>64452475</v>
          </cell>
        </row>
        <row r="42">
          <cell r="L42">
            <v>80377552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"/>
    </sheetNames>
    <sheetDataSet>
      <sheetData sheetId="0">
        <row r="28">
          <cell r="L28">
            <v>63305152</v>
          </cell>
        </row>
        <row r="42">
          <cell r="L42">
            <v>80090273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182233.56001600449</v>
          </cell>
          <cell r="F42">
            <v>902159.05486438866</v>
          </cell>
          <cell r="G42">
            <v>0.20199715231301157</v>
          </cell>
          <cell r="H42">
            <v>586746.15527178999</v>
          </cell>
          <cell r="I42">
            <v>1345916.4492388479</v>
          </cell>
          <cell r="J42">
            <v>0.43594545233740978</v>
          </cell>
          <cell r="K42">
            <v>11412.898090750577</v>
          </cell>
          <cell r="L42">
            <v>103054.31458770715</v>
          </cell>
          <cell r="M42">
            <v>0.11074643634679966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5429.8542651074695</v>
          </cell>
          <cell r="F42">
            <v>17347.125211413819</v>
          </cell>
          <cell r="G42">
            <v>0.31301176413569726</v>
          </cell>
          <cell r="H42">
            <v>64714.645080366972</v>
          </cell>
          <cell r="I42">
            <v>36249.75769777369</v>
          </cell>
          <cell r="J42">
            <v>1.7852435213474951</v>
          </cell>
          <cell r="K42">
            <v>246087.06272028785</v>
          </cell>
          <cell r="L42">
            <v>4230448.0300544398</v>
          </cell>
          <cell r="M42">
            <v>5.8170449316953567E-2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</sheetNames>
    <sheetDataSet>
      <sheetData sheetId="0">
        <row r="28">
          <cell r="L28">
            <v>62250162</v>
          </cell>
        </row>
        <row r="42">
          <cell r="L42">
            <v>80929933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401353.46343958116</v>
          </cell>
          <cell r="F41">
            <v>1777363.8643350475</v>
          </cell>
          <cell r="G41">
            <v>0.22581389860186937</v>
          </cell>
          <cell r="H41">
            <v>780026.97774871136</v>
          </cell>
          <cell r="I41">
            <v>1434639.8672975523</v>
          </cell>
          <cell r="J41">
            <v>0.54370925800218917</v>
          </cell>
          <cell r="K41">
            <v>337579.03747037187</v>
          </cell>
          <cell r="L41">
            <v>6097088.8260273123</v>
          </cell>
          <cell r="M41">
            <v>5.5367249371423156E-2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2">
          <cell r="E42">
            <v>171953.40912939789</v>
          </cell>
          <cell r="F42">
            <v>821573.24351237447</v>
          </cell>
          <cell r="G42">
            <v>0.20929772298117438</v>
          </cell>
          <cell r="H42">
            <v>543651.00861688331</v>
          </cell>
          <cell r="I42">
            <v>1231204.417058164</v>
          </cell>
          <cell r="J42">
            <v>0.44156031369338433</v>
          </cell>
          <cell r="K42">
            <v>11887.86285335198</v>
          </cell>
          <cell r="L42">
            <v>101482.40841871603</v>
          </cell>
          <cell r="M42">
            <v>0.11714210412018114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4501.0137142993426</v>
          </cell>
          <cell r="F42">
            <v>15220.503635120251</v>
          </cell>
          <cell r="G42">
            <v>0.29572041912683938</v>
          </cell>
          <cell r="H42">
            <v>58142.989691337694</v>
          </cell>
          <cell r="I42">
            <v>33872.2955485153</v>
          </cell>
          <cell r="J42">
            <v>1.7165352613335423</v>
          </cell>
          <cell r="K42">
            <v>230669.32409182997</v>
          </cell>
          <cell r="L42">
            <v>3774746.7939988151</v>
          </cell>
          <cell r="M42">
            <v>6.1108555535050381E-2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</sheetNames>
    <sheetDataSet>
      <sheetData sheetId="0">
        <row r="28">
          <cell r="L28">
            <v>59733459</v>
          </cell>
        </row>
        <row r="42">
          <cell r="L42">
            <v>78369843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2">
          <cell r="E42">
            <v>164815.45831088661</v>
          </cell>
          <cell r="F42">
            <v>785161.30828641891</v>
          </cell>
          <cell r="G42">
            <v>0.2099128632186287</v>
          </cell>
          <cell r="H42">
            <v>551961.91058111761</v>
          </cell>
          <cell r="I42">
            <v>1206928.8876486134</v>
          </cell>
          <cell r="J42">
            <v>0.45732761576075259</v>
          </cell>
          <cell r="K42">
            <v>14477.242717421692</v>
          </cell>
          <cell r="L42">
            <v>126338.60829723028</v>
          </cell>
          <cell r="M42">
            <v>0.11459080412981781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E42">
            <v>4477.250000626067</v>
          </cell>
          <cell r="F42">
            <v>15430.92750356185</v>
          </cell>
          <cell r="G42">
            <v>0.29014782161296554</v>
          </cell>
          <cell r="H42">
            <v>52146.423923329079</v>
          </cell>
          <cell r="I42">
            <v>31251.879007686272</v>
          </cell>
          <cell r="J42">
            <v>1.6685852364430274</v>
          </cell>
          <cell r="K42">
            <v>222110.63544208638</v>
          </cell>
          <cell r="L42">
            <v>3570106.2924181083</v>
          </cell>
          <cell r="M42">
            <v>6.2214011922778402E-2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Key"/>
      <sheetName val="Table 4.1 - Example"/>
      <sheetName val="Table 4.2"/>
      <sheetName val="Table 4.3"/>
      <sheetName val="Table 4.4"/>
      <sheetName val="Table 4.5"/>
      <sheetName val="Table 4.6"/>
      <sheetName val="Table 4.7"/>
      <sheetName val="Table 4.8"/>
      <sheetName val="Table 4.9"/>
      <sheetName val="Table 4.10"/>
      <sheetName val="Table 4.11"/>
      <sheetName val="Table 4.12"/>
      <sheetName val="Table 4.13"/>
      <sheetName val="Table 4.14"/>
      <sheetName val="Table 4.15"/>
      <sheetName val="Table 4.16"/>
      <sheetName val="Table 4.17"/>
      <sheetName val="Table 4.18"/>
      <sheetName val="Table 4.19"/>
      <sheetName val="Table 4.20"/>
      <sheetName val="Table 4.21"/>
      <sheetName val="Table 4.22"/>
      <sheetName val="Table 4.23"/>
      <sheetName val="Table 4.24"/>
      <sheetName val="Table 4.25"/>
      <sheetName val="Table 4.26"/>
      <sheetName val="Table 4.27"/>
      <sheetName val="Table 4.28"/>
      <sheetName val="Table 4.29"/>
      <sheetName val="Table 4.30"/>
      <sheetName val="Table 4.31"/>
      <sheetName val="Table 4.32"/>
      <sheetName val="Table 4.33"/>
      <sheetName val="Table 4.34"/>
      <sheetName val="Table 4.35"/>
      <sheetName val="Table 4.36"/>
      <sheetName val="Table 4.37"/>
      <sheetName val="Table 4.38"/>
      <sheetName val="Table 4.39"/>
      <sheetName val="Table 4.40"/>
      <sheetName val="Table 4.41"/>
      <sheetName val="Table 4.42"/>
      <sheetName val="Table 4.43"/>
      <sheetName val="Table 4.44"/>
      <sheetName val="Table 4.45"/>
      <sheetName val="Table 4.46"/>
      <sheetName val="Table 4.47"/>
      <sheetName val="Table 4.48"/>
      <sheetName val="Table 4.49"/>
      <sheetName val="Table 4.50"/>
      <sheetName val="Table 4.51"/>
      <sheetName val="Table 4.52"/>
      <sheetName val="Table 4.53"/>
      <sheetName val="Table 4.54"/>
      <sheetName val="Table 4.55"/>
      <sheetName val="Table 4.56"/>
      <sheetName val="Table 4.57"/>
      <sheetName val="Table 4.58"/>
      <sheetName val="Table 4.59"/>
      <sheetName val="Table 4.60"/>
      <sheetName val="Table 4.61"/>
      <sheetName val="Table 4.62"/>
      <sheetName val="Table 4.63"/>
      <sheetName val="Table 4.64"/>
      <sheetName val="check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2">
          <cell r="E42">
            <v>5430.2640134535468</v>
          </cell>
          <cell r="F42">
            <v>17259.965744660596</v>
          </cell>
          <cell r="G42">
            <v>0.31461615241811297</v>
          </cell>
          <cell r="H42">
            <v>66953.866067228446</v>
          </cell>
          <cell r="I42">
            <v>35710.854347179724</v>
          </cell>
          <cell r="J42">
            <v>1.8748883859317733</v>
          </cell>
          <cell r="K42">
            <v>221210.31085087656</v>
          </cell>
          <cell r="L42">
            <v>3832078.5396045977</v>
          </cell>
          <cell r="M42">
            <v>5.7725933475701027E-2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321380.69768554956</v>
          </cell>
          <cell r="F41">
            <v>1343180.4555828099</v>
          </cell>
          <cell r="G41">
            <v>0.23926844404991104</v>
          </cell>
          <cell r="H41">
            <v>806026.54721866234</v>
          </cell>
          <cell r="I41">
            <v>1579340.9863732511</v>
          </cell>
          <cell r="J41">
            <v>0.51035625249592009</v>
          </cell>
          <cell r="K41">
            <v>252628.7784487897</v>
          </cell>
          <cell r="L41">
            <v>4306327.817878969</v>
          </cell>
          <cell r="M41">
            <v>5.8664548806509356E-2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>
        <row r="41">
          <cell r="E41">
            <v>294738.09567397903</v>
          </cell>
          <cell r="F41">
            <v>1234646.4127740529</v>
          </cell>
          <cell r="G41">
            <v>0.2387226760832275</v>
          </cell>
          <cell r="H41">
            <v>817462.71405592188</v>
          </cell>
          <cell r="I41">
            <v>1593367.5928168409</v>
          </cell>
          <cell r="J41">
            <v>0.51304088130144998</v>
          </cell>
          <cell r="K41">
            <v>246213.71780690618</v>
          </cell>
          <cell r="L41">
            <v>4120591.2381202113</v>
          </cell>
          <cell r="M41">
            <v>5.9752036438156235E-2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271842.14027733088</v>
          </cell>
          <cell r="F41">
            <v>1116245.2499079623</v>
          </cell>
          <cell r="G41">
            <v>0.24353262896280639</v>
          </cell>
          <cell r="H41">
            <v>777642.58849048545</v>
          </cell>
          <cell r="I41">
            <v>1504490.3505345427</v>
          </cell>
          <cell r="J41">
            <v>0.51688107418847218</v>
          </cell>
          <cell r="K41">
            <v>266394.44441942545</v>
          </cell>
          <cell r="L41">
            <v>4400071.8550517168</v>
          </cell>
          <cell r="M41">
            <v>6.0543203201006437E-2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 refreshError="1">
        <row r="41">
          <cell r="E41">
            <v>271349.85473293462</v>
          </cell>
          <cell r="F41">
            <v>1116641.7486320436</v>
          </cell>
          <cell r="G41">
            <v>0.24300529249005356</v>
          </cell>
          <cell r="H41">
            <v>789432.96740935347</v>
          </cell>
          <cell r="I41">
            <v>1530049.4442694113</v>
          </cell>
          <cell r="J41">
            <v>0.51595258595469939</v>
          </cell>
          <cell r="K41">
            <v>257387.3537134864</v>
          </cell>
          <cell r="L41">
            <v>4112808.9589434909</v>
          </cell>
          <cell r="M41">
            <v>6.2581888991898316E-2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 refreshError="1"/>
      <sheetData sheetId="1" refreshError="1">
        <row r="41">
          <cell r="E41">
            <v>244080.59132490918</v>
          </cell>
          <cell r="F41">
            <v>1055466.6228778476</v>
          </cell>
          <cell r="G41">
            <v>0.23125372800458263</v>
          </cell>
          <cell r="H41">
            <v>768965.99310418137</v>
          </cell>
          <cell r="I41">
            <v>1495966.4035341693</v>
          </cell>
          <cell r="J41">
            <v>0.51402624503299377</v>
          </cell>
          <cell r="K41">
            <v>257612.95217804916</v>
          </cell>
          <cell r="L41">
            <v>4233077.503105606</v>
          </cell>
          <cell r="M41">
            <v>6.0857131009071037E-2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3.1-UAA Summary"/>
      <sheetName val="Table 3.2-Total Fwd Summary"/>
      <sheetName val="Table 3.3-PARS Fwd Summary"/>
      <sheetName val="Table 3.4-NonPARS Fwd Summary"/>
      <sheetName val="Table 3.5-Total RTS Summary"/>
      <sheetName val="Table 3.6-PARS RTS Summary"/>
      <sheetName val="Table 3.7-NonPARS RTS Summary"/>
      <sheetName val="Table 3.8-Total Wst Summary"/>
      <sheetName val="Table 3.9-PARS Wst Summary"/>
      <sheetName val="Table 3.10-NonPARS Wst Summary"/>
      <sheetName val="Table 3.11-Form3547 Costs"/>
      <sheetName val="Table 3.12-Form3579 Costs"/>
      <sheetName val="Table 3.13-COA Costs"/>
      <sheetName val="Table 3.14-Route UAA"/>
      <sheetName val="Table 3.15-Route UAA NoPARS"/>
      <sheetName val="Table 3.16-Route UAA PARS"/>
      <sheetName val="Table 3.17-No Record Mail"/>
      <sheetName val="Table 3.18-Nixie UAA"/>
      <sheetName val="Table 3.19-CFS UAA"/>
      <sheetName val="Table 3.20-CFS Non-CIOSS"/>
      <sheetName val="Table 3.21-CFS CIOSS Rejs"/>
      <sheetName val="Table 3.22-CFS Key Rates"/>
      <sheetName val="Table 3.23-CIOSS Summary"/>
      <sheetName val="Table 3.24-CIOSS Detail"/>
      <sheetName val="Table 3.25-REC Summary"/>
      <sheetName val="Table 3.26-REC Detail NonACS"/>
      <sheetName val="Table 3.27-REC Detail ACS"/>
      <sheetName val="Table 3.28-REC Volume"/>
      <sheetName val="Table 3.29-UAA MP Units"/>
      <sheetName val="Table 3.30-UAA MP Cost"/>
      <sheetName val="Table 3.31-Rating Post Due"/>
      <sheetName val="Table 3.32-Accounting Post Due"/>
      <sheetName val="Table 3.33-Delivery Post Due"/>
      <sheetName val="Table 3.34-Window Post Due"/>
      <sheetName val="Table 3.35-PD Vols"/>
      <sheetName val="Table 3.36-Process Form 3546"/>
      <sheetName val="Table 3.37-Notice Inputs"/>
      <sheetName val="Table 3.38-Form 3547 Dist"/>
      <sheetName val="Table 3.39-Form 3579 Dist"/>
      <sheetName val="Table 3.40-Form Processing"/>
      <sheetName val="Table 3.41-Man Notice"/>
      <sheetName val="Table 3.42-Vol Flows"/>
      <sheetName val="Table 3.43-Elec Notice"/>
      <sheetName val="Table 3.44-One Code ACS"/>
      <sheetName val="checksum"/>
    </sheetNames>
    <sheetDataSet>
      <sheetData sheetId="0"/>
      <sheetData sheetId="1">
        <row r="41">
          <cell r="E41">
            <v>221319.80544327712</v>
          </cell>
          <cell r="F41">
            <v>967265.14107625547</v>
          </cell>
          <cell r="G41">
            <v>0.22880986406376566</v>
          </cell>
          <cell r="H41">
            <v>784022.75275415939</v>
          </cell>
          <cell r="I41">
            <v>1425181.3153396666</v>
          </cell>
          <cell r="J41">
            <v>0.55012140863445258</v>
          </cell>
          <cell r="K41">
            <v>278604.36945536587</v>
          </cell>
          <cell r="L41">
            <v>4435239.9259789437</v>
          </cell>
          <cell r="M41">
            <v>6.281607626759278E-2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2"/>
  <sheetViews>
    <sheetView tabSelected="1" zoomScaleNormal="100" workbookViewId="0">
      <selection activeCell="P22" sqref="P22:Q22"/>
    </sheetView>
  </sheetViews>
  <sheetFormatPr defaultColWidth="8.85546875" defaultRowHeight="12.75" x14ac:dyDescent="0.2"/>
  <cols>
    <col min="1" max="1" width="7.7109375" style="86" customWidth="1"/>
    <col min="2" max="2" width="12.28515625" style="13" bestFit="1" customWidth="1"/>
    <col min="3" max="3" width="10.85546875" style="11" customWidth="1"/>
    <col min="4" max="4" width="8.28515625" style="14" bestFit="1" customWidth="1"/>
    <col min="5" max="5" width="12.28515625" style="13" bestFit="1" customWidth="1"/>
    <col min="6" max="6" width="10.42578125" style="11" customWidth="1"/>
    <col min="7" max="7" width="7.7109375" style="14" bestFit="1" customWidth="1"/>
    <col min="8" max="8" width="11.28515625" style="13" bestFit="1" customWidth="1"/>
    <col min="9" max="9" width="10.42578125" style="11" bestFit="1" customWidth="1"/>
    <col min="10" max="10" width="7.7109375" style="14" bestFit="1" customWidth="1"/>
    <col min="11" max="11" width="1.7109375" style="2" customWidth="1"/>
    <col min="12" max="12" width="11.42578125" style="2" bestFit="1" customWidth="1"/>
    <col min="13" max="13" width="10.42578125" style="2" bestFit="1" customWidth="1"/>
    <col min="14" max="14" width="7.85546875" style="2" bestFit="1" customWidth="1"/>
    <col min="15" max="15" width="1.7109375" style="2" customWidth="1"/>
    <col min="16" max="16" width="12.85546875" style="2" customWidth="1"/>
    <col min="17" max="17" width="10.42578125" style="2" bestFit="1" customWidth="1"/>
    <col min="18" max="18" width="9.85546875" style="89" customWidth="1"/>
    <col min="19" max="20" width="8.5703125" style="4" bestFit="1" customWidth="1"/>
    <col min="21" max="21" width="8.85546875" style="12" customWidth="1"/>
    <col min="22" max="16384" width="8.85546875" style="2"/>
  </cols>
  <sheetData>
    <row r="1" spans="1:20" x14ac:dyDescent="0.2">
      <c r="B1" s="101" t="s">
        <v>25</v>
      </c>
      <c r="C1" s="101"/>
      <c r="D1" s="101"/>
      <c r="E1" s="101"/>
      <c r="F1" s="101"/>
      <c r="G1" s="101"/>
      <c r="H1" s="101"/>
      <c r="I1" s="101"/>
      <c r="J1" s="101"/>
      <c r="R1" s="89" t="s">
        <v>39</v>
      </c>
    </row>
    <row r="2" spans="1:20" x14ac:dyDescent="0.2">
      <c r="B2" s="102" t="s">
        <v>0</v>
      </c>
      <c r="C2" s="103"/>
      <c r="D2" s="103"/>
      <c r="E2" s="103" t="s">
        <v>12</v>
      </c>
      <c r="F2" s="103"/>
      <c r="G2" s="103"/>
      <c r="H2" s="103" t="s">
        <v>13</v>
      </c>
      <c r="I2" s="103"/>
      <c r="J2" s="104"/>
      <c r="L2" s="102" t="s">
        <v>14</v>
      </c>
      <c r="M2" s="103"/>
      <c r="N2" s="104"/>
      <c r="P2" s="66" t="s">
        <v>15</v>
      </c>
      <c r="Q2" s="67" t="s">
        <v>16</v>
      </c>
      <c r="S2" s="70" t="s">
        <v>15</v>
      </c>
      <c r="T2" s="71" t="s">
        <v>16</v>
      </c>
    </row>
    <row r="3" spans="1:20" ht="25.5" x14ac:dyDescent="0.2">
      <c r="B3" s="61" t="s">
        <v>11</v>
      </c>
      <c r="C3" s="62" t="s">
        <v>10</v>
      </c>
      <c r="D3" s="63" t="s">
        <v>9</v>
      </c>
      <c r="E3" s="64" t="s">
        <v>11</v>
      </c>
      <c r="F3" s="62" t="s">
        <v>10</v>
      </c>
      <c r="G3" s="63" t="s">
        <v>9</v>
      </c>
      <c r="H3" s="64" t="s">
        <v>11</v>
      </c>
      <c r="I3" s="62" t="s">
        <v>10</v>
      </c>
      <c r="J3" s="65" t="s">
        <v>9</v>
      </c>
      <c r="L3" s="61" t="s">
        <v>11</v>
      </c>
      <c r="M3" s="62" t="s">
        <v>10</v>
      </c>
      <c r="N3" s="65" t="s">
        <v>9</v>
      </c>
      <c r="P3" s="68" t="s">
        <v>8</v>
      </c>
      <c r="Q3" s="69" t="s">
        <v>17</v>
      </c>
      <c r="S3" s="72" t="s">
        <v>18</v>
      </c>
      <c r="T3" s="73" t="s">
        <v>18</v>
      </c>
    </row>
    <row r="4" spans="1:20" x14ac:dyDescent="0.2">
      <c r="A4" s="87" t="s">
        <v>21</v>
      </c>
      <c r="B4" s="21">
        <v>0</v>
      </c>
      <c r="C4" s="22">
        <v>0</v>
      </c>
      <c r="D4" s="23">
        <v>0</v>
      </c>
      <c r="E4" s="21">
        <v>0</v>
      </c>
      <c r="F4" s="22">
        <v>0</v>
      </c>
      <c r="G4" s="23">
        <v>0</v>
      </c>
      <c r="H4" s="21">
        <v>0</v>
      </c>
      <c r="I4" s="22">
        <v>0</v>
      </c>
      <c r="J4" s="23">
        <v>0</v>
      </c>
      <c r="K4" s="24"/>
      <c r="L4" s="21">
        <v>0</v>
      </c>
      <c r="M4" s="22">
        <v>2755300</v>
      </c>
      <c r="N4" s="23"/>
      <c r="O4" s="24"/>
      <c r="P4" s="25">
        <v>109244891</v>
      </c>
      <c r="Q4" s="26">
        <f>M4/P4</f>
        <v>2.5221316757046332E-2</v>
      </c>
      <c r="R4" s="27" t="s">
        <v>21</v>
      </c>
      <c r="S4" s="28" t="s">
        <v>19</v>
      </c>
      <c r="T4" s="28" t="s">
        <v>19</v>
      </c>
    </row>
    <row r="5" spans="1:20" x14ac:dyDescent="0.2">
      <c r="A5" s="87" t="s">
        <v>22</v>
      </c>
      <c r="B5" s="21">
        <v>0</v>
      </c>
      <c r="C5" s="22">
        <v>0</v>
      </c>
      <c r="D5" s="23">
        <v>0</v>
      </c>
      <c r="E5" s="21">
        <v>0</v>
      </c>
      <c r="F5" s="22">
        <v>0</v>
      </c>
      <c r="G5" s="23">
        <v>0</v>
      </c>
      <c r="H5" s="21">
        <v>0</v>
      </c>
      <c r="I5" s="22">
        <v>0</v>
      </c>
      <c r="J5" s="23">
        <v>0</v>
      </c>
      <c r="K5" s="24"/>
      <c r="L5" s="21">
        <v>0</v>
      </c>
      <c r="M5" s="22">
        <v>4842271</v>
      </c>
      <c r="N5" s="23"/>
      <c r="O5" s="24"/>
      <c r="P5" s="25">
        <v>170623520</v>
      </c>
      <c r="Q5" s="26">
        <f>M5/P5</f>
        <v>2.8379856423076961E-2</v>
      </c>
      <c r="R5" s="27" t="s">
        <v>22</v>
      </c>
      <c r="S5" s="28" t="s">
        <v>19</v>
      </c>
      <c r="T5" s="28" t="s">
        <v>19</v>
      </c>
    </row>
    <row r="6" spans="1:20" x14ac:dyDescent="0.2">
      <c r="A6" s="87" t="s">
        <v>7</v>
      </c>
      <c r="B6" s="30">
        <v>437610</v>
      </c>
      <c r="C6" s="31">
        <v>2093190</v>
      </c>
      <c r="D6" s="32">
        <v>0.20899999999999999</v>
      </c>
      <c r="E6" s="30">
        <v>767865</v>
      </c>
      <c r="F6" s="31">
        <v>1310596</v>
      </c>
      <c r="G6" s="32">
        <v>0.58589999999999998</v>
      </c>
      <c r="H6" s="30">
        <f>J6*I6</f>
        <v>256245.14528554489</v>
      </c>
      <c r="I6" s="31">
        <f>[1]Comparative!$K$12</f>
        <v>5904266.0204042597</v>
      </c>
      <c r="J6" s="32">
        <v>4.3400000000000001E-2</v>
      </c>
      <c r="K6" s="33"/>
      <c r="L6" s="34">
        <f>B6+E6+H6</f>
        <v>1461720.1452855449</v>
      </c>
      <c r="M6" s="35">
        <f>C6+F6+I6</f>
        <v>9308052.0204042606</v>
      </c>
      <c r="N6" s="32">
        <f>L6/M6</f>
        <v>0.1570382441010531</v>
      </c>
      <c r="O6" s="33"/>
      <c r="P6" s="31">
        <v>197513848</v>
      </c>
      <c r="Q6" s="36">
        <f>M6/P6</f>
        <v>4.7126073005292576E-2</v>
      </c>
      <c r="R6" s="27" t="s">
        <v>7</v>
      </c>
      <c r="S6" s="28" t="s">
        <v>19</v>
      </c>
      <c r="T6" s="28" t="s">
        <v>19</v>
      </c>
    </row>
    <row r="7" spans="1:20" x14ac:dyDescent="0.2">
      <c r="A7" s="87" t="s">
        <v>6</v>
      </c>
      <c r="B7" s="30">
        <f>'[2]Table 3.1-UAA Summary'!E13</f>
        <v>421926.93331022386</v>
      </c>
      <c r="C7" s="31">
        <f>'[2]Table 3.1-UAA Summary'!F13</f>
        <v>1985159.9609296939</v>
      </c>
      <c r="D7" s="32">
        <f>'[2]Table 3.1-UAA Summary'!G13</f>
        <v>0.21254052147647903</v>
      </c>
      <c r="E7" s="30">
        <f>'[2]Table 3.1-UAA Summary'!H13</f>
        <v>822494.19530298805</v>
      </c>
      <c r="F7" s="31">
        <f>'[2]Table 3.1-UAA Summary'!I13</f>
        <v>1603289.8666336224</v>
      </c>
      <c r="G7" s="32">
        <f>'[2]Table 3.1-UAA Summary'!J13</f>
        <v>0.51300405024697959</v>
      </c>
      <c r="H7" s="30">
        <f>'[2]Table 3.1-UAA Summary'!K13</f>
        <v>269804.22212256491</v>
      </c>
      <c r="I7" s="31">
        <f>'[2]Table 3.1-UAA Summary'!L13</f>
        <v>6135878.8300332101</v>
      </c>
      <c r="J7" s="32">
        <f>'[2]Table 3.1-UAA Summary'!M13</f>
        <v>4.3971569451788636E-2</v>
      </c>
      <c r="K7" s="33"/>
      <c r="L7" s="34">
        <f t="shared" ref="L7:L12" si="0">B7+E7+H7</f>
        <v>1514225.3507357768</v>
      </c>
      <c r="M7" s="35">
        <f t="shared" ref="M7:M16" si="1">C7+F7+I7</f>
        <v>9724328.6575965267</v>
      </c>
      <c r="N7" s="32">
        <f t="shared" ref="N7:N16" si="2">L7/M7</f>
        <v>0.15571515567327956</v>
      </c>
      <c r="O7" s="33"/>
      <c r="P7" s="37">
        <v>206105744</v>
      </c>
      <c r="Q7" s="36">
        <f t="shared" ref="Q7:Q16" si="3">M7/P7</f>
        <v>4.7181259817759016E-2</v>
      </c>
      <c r="R7" s="27" t="s">
        <v>6</v>
      </c>
      <c r="S7" s="28" t="s">
        <v>19</v>
      </c>
      <c r="T7" s="28" t="s">
        <v>19</v>
      </c>
    </row>
    <row r="8" spans="1:20" x14ac:dyDescent="0.2">
      <c r="A8" s="87" t="s">
        <v>3</v>
      </c>
      <c r="B8" s="30">
        <f>'[3]Table 3.1-UAA Summary'!E41</f>
        <v>401353.46343958116</v>
      </c>
      <c r="C8" s="31">
        <f>'[3]Table 3.1-UAA Summary'!F41</f>
        <v>1777363.8643350475</v>
      </c>
      <c r="D8" s="32">
        <f>'[3]Table 3.1-UAA Summary'!G41</f>
        <v>0.22581389860186937</v>
      </c>
      <c r="E8" s="30">
        <f>'[3]Table 3.1-UAA Summary'!H41</f>
        <v>780026.97774871136</v>
      </c>
      <c r="F8" s="31">
        <f>'[3]Table 3.1-UAA Summary'!I41</f>
        <v>1434639.8672975523</v>
      </c>
      <c r="G8" s="32">
        <f>'[3]Table 3.1-UAA Summary'!J41</f>
        <v>0.54370925800218917</v>
      </c>
      <c r="H8" s="30">
        <f>'[3]Table 3.1-UAA Summary'!K41</f>
        <v>337579.03747037187</v>
      </c>
      <c r="I8" s="31">
        <f>'[3]Table 3.1-UAA Summary'!L41</f>
        <v>6097088.8260273123</v>
      </c>
      <c r="J8" s="32">
        <f>'[3]Table 3.1-UAA Summary'!M41</f>
        <v>5.5367249371423156E-2</v>
      </c>
      <c r="K8" s="33"/>
      <c r="L8" s="34">
        <f t="shared" si="0"/>
        <v>1518959.4786586645</v>
      </c>
      <c r="M8" s="35">
        <f t="shared" si="1"/>
        <v>9309092.5576599129</v>
      </c>
      <c r="N8" s="32">
        <f t="shared" si="2"/>
        <v>0.1631694463504717</v>
      </c>
      <c r="O8" s="33"/>
      <c r="P8" s="38">
        <v>201128003</v>
      </c>
      <c r="Q8" s="36">
        <f t="shared" si="3"/>
        <v>4.6284417976645016E-2</v>
      </c>
      <c r="R8" s="27" t="s">
        <v>3</v>
      </c>
      <c r="S8" s="39">
        <f t="shared" ref="S8:S11" si="4">(P8-P7)/P7</f>
        <v>-2.4151393859260906E-2</v>
      </c>
      <c r="T8" s="39">
        <f t="shared" ref="T8:T11" si="5">(M8-M7)/M7</f>
        <v>-4.270074722456408E-2</v>
      </c>
    </row>
    <row r="9" spans="1:20" x14ac:dyDescent="0.2">
      <c r="A9" s="87" t="s">
        <v>4</v>
      </c>
      <c r="B9" s="30">
        <f>'[4]Table 3.1-UAA Summary'!E41</f>
        <v>321380.69768554956</v>
      </c>
      <c r="C9" s="31">
        <f>'[4]Table 3.1-UAA Summary'!F41</f>
        <v>1343180.4555828099</v>
      </c>
      <c r="D9" s="32">
        <f>'[4]Table 3.1-UAA Summary'!G41</f>
        <v>0.23926844404991104</v>
      </c>
      <c r="E9" s="30">
        <f>'[4]Table 3.1-UAA Summary'!H41</f>
        <v>806026.54721866234</v>
      </c>
      <c r="F9" s="31">
        <f>'[4]Table 3.1-UAA Summary'!I41</f>
        <v>1579340.9863732511</v>
      </c>
      <c r="G9" s="32">
        <f>'[4]Table 3.1-UAA Summary'!J41</f>
        <v>0.51035625249592009</v>
      </c>
      <c r="H9" s="30">
        <f>'[4]Table 3.1-UAA Summary'!K41</f>
        <v>252628.7784487897</v>
      </c>
      <c r="I9" s="31">
        <f>'[4]Table 3.1-UAA Summary'!L41</f>
        <v>4306327.817878969</v>
      </c>
      <c r="J9" s="32">
        <f>'[4]Table 3.1-UAA Summary'!M41</f>
        <v>5.8664548806509356E-2</v>
      </c>
      <c r="K9" s="33"/>
      <c r="L9" s="34">
        <f t="shared" si="0"/>
        <v>1380036.0233530016</v>
      </c>
      <c r="M9" s="35">
        <f t="shared" si="1"/>
        <v>7228849.25983503</v>
      </c>
      <c r="N9" s="32">
        <f t="shared" si="2"/>
        <v>0.19090673684686785</v>
      </c>
      <c r="O9" s="33"/>
      <c r="P9" s="38">
        <v>177057802</v>
      </c>
      <c r="Q9" s="36">
        <f t="shared" si="3"/>
        <v>4.0827623398572571E-2</v>
      </c>
      <c r="R9" s="27" t="s">
        <v>4</v>
      </c>
      <c r="S9" s="39">
        <f t="shared" si="4"/>
        <v>-0.11967603039344053</v>
      </c>
      <c r="T9" s="39">
        <f t="shared" si="5"/>
        <v>-0.22346359593483375</v>
      </c>
    </row>
    <row r="10" spans="1:20" x14ac:dyDescent="0.2">
      <c r="A10" s="87" t="s">
        <v>5</v>
      </c>
      <c r="B10" s="30">
        <f>'[5]Table 3.1-UAA Summary'!E41</f>
        <v>294738.09567397903</v>
      </c>
      <c r="C10" s="31">
        <f>'[5]Table 3.1-UAA Summary'!F41</f>
        <v>1234646.4127740529</v>
      </c>
      <c r="D10" s="32">
        <f>'[5]Table 3.1-UAA Summary'!G41</f>
        <v>0.2387226760832275</v>
      </c>
      <c r="E10" s="30">
        <f>'[5]Table 3.1-UAA Summary'!H41</f>
        <v>817462.71405592188</v>
      </c>
      <c r="F10" s="31">
        <f>'[5]Table 3.1-UAA Summary'!I41</f>
        <v>1593367.5928168409</v>
      </c>
      <c r="G10" s="32">
        <f>'[5]Table 3.1-UAA Summary'!J41</f>
        <v>0.51304088130144998</v>
      </c>
      <c r="H10" s="30">
        <f>'[5]Table 3.1-UAA Summary'!K41</f>
        <v>246213.71780690618</v>
      </c>
      <c r="I10" s="31">
        <f>'[5]Table 3.1-UAA Summary'!L41</f>
        <v>4120591.2381202113</v>
      </c>
      <c r="J10" s="32">
        <f>'[5]Table 3.1-UAA Summary'!M41</f>
        <v>5.9752036438156235E-2</v>
      </c>
      <c r="K10" s="33"/>
      <c r="L10" s="34">
        <f t="shared" si="0"/>
        <v>1358414.5275368071</v>
      </c>
      <c r="M10" s="35">
        <f t="shared" si="1"/>
        <v>6948605.2437111046</v>
      </c>
      <c r="N10" s="32">
        <f t="shared" si="2"/>
        <v>0.19549456040350716</v>
      </c>
      <c r="O10" s="33"/>
      <c r="P10" s="37">
        <v>170573704</v>
      </c>
      <c r="Q10" s="36">
        <f t="shared" si="3"/>
        <v>4.0736673243087364E-2</v>
      </c>
      <c r="R10" s="27" t="s">
        <v>5</v>
      </c>
      <c r="S10" s="39">
        <f t="shared" si="4"/>
        <v>-3.662136277959669E-2</v>
      </c>
      <c r="T10" s="39">
        <f t="shared" si="5"/>
        <v>-3.8767445004147284E-2</v>
      </c>
    </row>
    <row r="11" spans="1:20" x14ac:dyDescent="0.2">
      <c r="A11" s="87" t="s">
        <v>2</v>
      </c>
      <c r="B11" s="30">
        <f>'[6]Table 3.1-UAA Summary'!E41</f>
        <v>271842.14027733088</v>
      </c>
      <c r="C11" s="31">
        <f>'[6]Table 3.1-UAA Summary'!F41</f>
        <v>1116245.2499079623</v>
      </c>
      <c r="D11" s="32">
        <f>'[6]Table 3.1-UAA Summary'!G41</f>
        <v>0.24353262896280639</v>
      </c>
      <c r="E11" s="30">
        <f>'[6]Table 3.1-UAA Summary'!H41</f>
        <v>777642.58849048545</v>
      </c>
      <c r="F11" s="31">
        <f>'[6]Table 3.1-UAA Summary'!I41</f>
        <v>1504490.3505345427</v>
      </c>
      <c r="G11" s="32">
        <f>'[6]Table 3.1-UAA Summary'!J41</f>
        <v>0.51688107418847218</v>
      </c>
      <c r="H11" s="30">
        <f>'[6]Table 3.1-UAA Summary'!K41</f>
        <v>266394.44441942545</v>
      </c>
      <c r="I11" s="31">
        <f>'[6]Table 3.1-UAA Summary'!L41</f>
        <v>4400071.8550517168</v>
      </c>
      <c r="J11" s="32">
        <f>'[6]Table 3.1-UAA Summary'!M41</f>
        <v>6.0543203201006437E-2</v>
      </c>
      <c r="K11" s="33"/>
      <c r="L11" s="34">
        <f t="shared" si="0"/>
        <v>1315879.1731872419</v>
      </c>
      <c r="M11" s="35">
        <f t="shared" si="1"/>
        <v>7020807.4554942213</v>
      </c>
      <c r="N11" s="32">
        <f t="shared" si="2"/>
        <v>0.18742561757016768</v>
      </c>
      <c r="O11" s="33"/>
      <c r="P11" s="38">
        <v>167934373</v>
      </c>
      <c r="Q11" s="36">
        <f t="shared" si="3"/>
        <v>4.1806851867629391E-2</v>
      </c>
      <c r="R11" s="27" t="s">
        <v>2</v>
      </c>
      <c r="S11" s="39">
        <f t="shared" si="4"/>
        <v>-1.5473258410335042E-2</v>
      </c>
      <c r="T11" s="29">
        <f t="shared" si="5"/>
        <v>1.0390892740448009E-2</v>
      </c>
    </row>
    <row r="12" spans="1:20" x14ac:dyDescent="0.2">
      <c r="A12" s="87" t="s">
        <v>1</v>
      </c>
      <c r="B12" s="30">
        <f>'[7]Table 3.1-UAA Summary'!E41</f>
        <v>271349.85473293462</v>
      </c>
      <c r="C12" s="31">
        <f>'[7]Table 3.1-UAA Summary'!F41</f>
        <v>1116641.7486320436</v>
      </c>
      <c r="D12" s="32">
        <f>'[7]Table 3.1-UAA Summary'!G41</f>
        <v>0.24300529249005356</v>
      </c>
      <c r="E12" s="30">
        <f>'[7]Table 3.1-UAA Summary'!H41</f>
        <v>789432.96740935347</v>
      </c>
      <c r="F12" s="31">
        <f>'[7]Table 3.1-UAA Summary'!I41</f>
        <v>1530049.4442694113</v>
      </c>
      <c r="G12" s="32">
        <f>'[7]Table 3.1-UAA Summary'!J41</f>
        <v>0.51595258595469939</v>
      </c>
      <c r="H12" s="30">
        <f>'[7]Table 3.1-UAA Summary'!K41</f>
        <v>257387.3537134864</v>
      </c>
      <c r="I12" s="31">
        <f>'[7]Table 3.1-UAA Summary'!L41</f>
        <v>4112808.9589434909</v>
      </c>
      <c r="J12" s="32">
        <f>'[7]Table 3.1-UAA Summary'!M41</f>
        <v>6.2581888991898316E-2</v>
      </c>
      <c r="K12" s="33"/>
      <c r="L12" s="34">
        <f t="shared" si="0"/>
        <v>1318170.1758557744</v>
      </c>
      <c r="M12" s="35">
        <f t="shared" si="1"/>
        <v>6759500.1518449457</v>
      </c>
      <c r="N12" s="32">
        <f t="shared" si="2"/>
        <v>0.19501000758110665</v>
      </c>
      <c r="O12" s="33"/>
      <c r="P12" s="38">
        <v>159858854</v>
      </c>
      <c r="Q12" s="36">
        <f t="shared" si="3"/>
        <v>4.2284177464733647E-2</v>
      </c>
      <c r="R12" s="27" t="s">
        <v>1</v>
      </c>
      <c r="S12" s="39">
        <f t="shared" ref="S12:S17" si="6">(P12-P11)/P11</f>
        <v>-4.8087350169819014E-2</v>
      </c>
      <c r="T12" s="39">
        <f t="shared" ref="T12:T17" si="7">(M12-M11)/M11</f>
        <v>-3.7218981620808618E-2</v>
      </c>
    </row>
    <row r="13" spans="1:20" x14ac:dyDescent="0.2">
      <c r="A13" s="87" t="s">
        <v>23</v>
      </c>
      <c r="B13" s="30">
        <f>'[8]Table 3.1-UAA Summary'!$E$41</f>
        <v>244080.59132490918</v>
      </c>
      <c r="C13" s="31">
        <f>'[8]Table 3.1-UAA Summary'!$F$41</f>
        <v>1055466.6228778476</v>
      </c>
      <c r="D13" s="32">
        <f>'[8]Table 3.1-UAA Summary'!$G$41</f>
        <v>0.23125372800458263</v>
      </c>
      <c r="E13" s="30">
        <f>'[8]Table 3.1-UAA Summary'!$H$41</f>
        <v>768965.99310418137</v>
      </c>
      <c r="F13" s="31">
        <f>'[8]Table 3.1-UAA Summary'!$I$41</f>
        <v>1495966.4035341693</v>
      </c>
      <c r="G13" s="32">
        <f>'[8]Table 3.1-UAA Summary'!$J$41</f>
        <v>0.51402624503299377</v>
      </c>
      <c r="H13" s="30">
        <f>'[8]Table 3.1-UAA Summary'!$K$41</f>
        <v>257612.95217804916</v>
      </c>
      <c r="I13" s="31">
        <f>'[8]Table 3.1-UAA Summary'!$L$41</f>
        <v>4233077.503105606</v>
      </c>
      <c r="J13" s="32">
        <f>'[8]Table 3.1-UAA Summary'!$M$41</f>
        <v>6.0857131009071037E-2</v>
      </c>
      <c r="K13" s="33"/>
      <c r="L13" s="34">
        <f t="shared" ref="L13:M15" si="8">B13+E13+H13</f>
        <v>1270659.5366071397</v>
      </c>
      <c r="M13" s="35">
        <f t="shared" si="8"/>
        <v>6784510.5295176227</v>
      </c>
      <c r="N13" s="32">
        <f>L13/M13</f>
        <v>0.18728831373742202</v>
      </c>
      <c r="O13" s="33"/>
      <c r="P13" s="38">
        <v>158384271</v>
      </c>
      <c r="Q13" s="36">
        <f>M13/P13</f>
        <v>4.2835759426626541E-2</v>
      </c>
      <c r="R13" s="27" t="s">
        <v>23</v>
      </c>
      <c r="S13" s="39">
        <f t="shared" si="6"/>
        <v>-9.2242810648448664E-3</v>
      </c>
      <c r="T13" s="40">
        <f t="shared" si="7"/>
        <v>3.7000335987640398E-3</v>
      </c>
    </row>
    <row r="14" spans="1:20" x14ac:dyDescent="0.2">
      <c r="A14" s="87" t="s">
        <v>26</v>
      </c>
      <c r="B14" s="30">
        <v>229568</v>
      </c>
      <c r="C14" s="31">
        <v>1010525</v>
      </c>
      <c r="D14" s="32">
        <v>0.22700000000000001</v>
      </c>
      <c r="E14" s="30">
        <v>769790</v>
      </c>
      <c r="F14" s="31">
        <v>1464963</v>
      </c>
      <c r="G14" s="32">
        <v>0.52500000000000002</v>
      </c>
      <c r="H14" s="30">
        <v>253389</v>
      </c>
      <c r="I14" s="31">
        <v>4139809</v>
      </c>
      <c r="J14" s="32">
        <f>'[8]Table 3.1-UAA Summary'!$M$41</f>
        <v>6.0857131009071037E-2</v>
      </c>
      <c r="K14" s="33"/>
      <c r="L14" s="34">
        <f t="shared" si="8"/>
        <v>1252747</v>
      </c>
      <c r="M14" s="35">
        <f t="shared" si="8"/>
        <v>6615297</v>
      </c>
      <c r="N14" s="32">
        <f>L14/M14</f>
        <v>0.18937124062608224</v>
      </c>
      <c r="O14" s="33"/>
      <c r="P14" s="38">
        <v>155374732</v>
      </c>
      <c r="Q14" s="36">
        <f>M14/P14</f>
        <v>4.2576401676432174E-2</v>
      </c>
      <c r="R14" s="27" t="s">
        <v>24</v>
      </c>
      <c r="S14" s="39">
        <f t="shared" si="6"/>
        <v>-1.900150173371698E-2</v>
      </c>
      <c r="T14" s="39">
        <f t="shared" si="7"/>
        <v>-2.4941155118179723E-2</v>
      </c>
    </row>
    <row r="15" spans="1:20" x14ac:dyDescent="0.2">
      <c r="A15" s="87" t="s">
        <v>27</v>
      </c>
      <c r="B15" s="30">
        <v>220932</v>
      </c>
      <c r="C15" s="31">
        <v>993674</v>
      </c>
      <c r="D15" s="32">
        <v>0.222</v>
      </c>
      <c r="E15" s="30">
        <v>788592</v>
      </c>
      <c r="F15" s="31">
        <v>1454514</v>
      </c>
      <c r="G15" s="32">
        <v>0.54200000000000004</v>
      </c>
      <c r="H15" s="30">
        <v>253542</v>
      </c>
      <c r="I15" s="31">
        <v>4028810</v>
      </c>
      <c r="J15" s="32">
        <v>6.3E-2</v>
      </c>
      <c r="K15" s="33"/>
      <c r="L15" s="34">
        <f t="shared" si="8"/>
        <v>1263066</v>
      </c>
      <c r="M15" s="35">
        <f t="shared" si="8"/>
        <v>6476998</v>
      </c>
      <c r="N15" s="32">
        <f>L15/M15</f>
        <v>0.19500793423125962</v>
      </c>
      <c r="O15" s="33"/>
      <c r="P15" s="38">
        <v>154156980</v>
      </c>
      <c r="Q15" s="36">
        <f>M15/P15</f>
        <v>4.2015599942344488E-2</v>
      </c>
      <c r="R15" s="27" t="s">
        <v>27</v>
      </c>
      <c r="S15" s="39">
        <f t="shared" si="6"/>
        <v>-7.8375163343805485E-3</v>
      </c>
      <c r="T15" s="39">
        <f t="shared" si="7"/>
        <v>-2.0905939672852179E-2</v>
      </c>
    </row>
    <row r="16" spans="1:20" x14ac:dyDescent="0.2">
      <c r="A16" s="87" t="s">
        <v>28</v>
      </c>
      <c r="B16" s="30">
        <f>'[9]Table 3.1-UAA Summary'!$E$41</f>
        <v>221319.80544327712</v>
      </c>
      <c r="C16" s="31">
        <f>'[9]Table 3.1-UAA Summary'!$F$41</f>
        <v>967265.14107625547</v>
      </c>
      <c r="D16" s="32">
        <f>'[9]Table 3.1-UAA Summary'!$G$41</f>
        <v>0.22880986406376566</v>
      </c>
      <c r="E16" s="30">
        <f>'[9]Table 3.1-UAA Summary'!$H$41</f>
        <v>784022.75275415939</v>
      </c>
      <c r="F16" s="31">
        <f>'[9]Table 3.1-UAA Summary'!$I$41</f>
        <v>1425181.3153396666</v>
      </c>
      <c r="G16" s="32">
        <f>'[9]Table 3.1-UAA Summary'!$J$41</f>
        <v>0.55012140863445258</v>
      </c>
      <c r="H16" s="30">
        <f>'[9]Table 3.1-UAA Summary'!$K$41</f>
        <v>278604.36945536587</v>
      </c>
      <c r="I16" s="31">
        <f>'[9]Table 3.1-UAA Summary'!$L$41</f>
        <v>4435239.9259789437</v>
      </c>
      <c r="J16" s="32">
        <f>'[9]Table 3.1-UAA Summary'!$M$41</f>
        <v>6.281607626759278E-2</v>
      </c>
      <c r="K16" s="33"/>
      <c r="L16" s="34">
        <f>B16+E16+H16</f>
        <v>1283946.9276528023</v>
      </c>
      <c r="M16" s="35">
        <f t="shared" si="1"/>
        <v>6827686.3823948652</v>
      </c>
      <c r="N16" s="32">
        <f t="shared" si="2"/>
        <v>0.18805007373558474</v>
      </c>
      <c r="O16" s="33"/>
      <c r="P16" s="38">
        <v>154323327</v>
      </c>
      <c r="Q16" s="36">
        <f t="shared" si="3"/>
        <v>4.4242737084036976E-2</v>
      </c>
      <c r="R16" s="27" t="s">
        <v>28</v>
      </c>
      <c r="S16" s="39">
        <f t="shared" si="6"/>
        <v>1.0790753684977482E-3</v>
      </c>
      <c r="T16" s="40">
        <f t="shared" si="7"/>
        <v>5.414366075068499E-2</v>
      </c>
    </row>
    <row r="17" spans="1:20" x14ac:dyDescent="0.2">
      <c r="A17" s="87" t="s">
        <v>30</v>
      </c>
      <c r="B17" s="30">
        <f>'[10]Table 3.1-UAA Summary'!$E$41</f>
        <v>215815.17810674242</v>
      </c>
      <c r="C17" s="31">
        <f>'[10]Table 3.1-UAA Summary'!$F$41</f>
        <v>883777.80799898237</v>
      </c>
      <c r="D17" s="32">
        <f>'[10]Table 3.1-UAA Summary'!$G$41</f>
        <v>0.24419619519003685</v>
      </c>
      <c r="E17" s="30">
        <f>'[10]Table 3.1-UAA Summary'!$H$41</f>
        <v>726134.10824740469</v>
      </c>
      <c r="F17" s="31">
        <f>'[10]Table 3.1-UAA Summary'!$I$41</f>
        <v>1301908.1742384396</v>
      </c>
      <c r="G17" s="32">
        <f>'[10]Table 3.1-UAA Summary'!$J$41</f>
        <v>0.55774602434780929</v>
      </c>
      <c r="H17" s="30">
        <f>'[10]Table 3.1-UAA Summary'!$K$41</f>
        <v>263933.44370323198</v>
      </c>
      <c r="I17" s="31">
        <f>'[10]Table 3.1-UAA Summary'!$L$41</f>
        <v>3976710.2312108148</v>
      </c>
      <c r="J17" s="32">
        <f>'[10]Table 3.1-UAA Summary'!$M$41</f>
        <v>6.6369795222135278E-2</v>
      </c>
      <c r="K17" s="33"/>
      <c r="L17" s="34">
        <f>B17+E17+H17</f>
        <v>1205882.7300573792</v>
      </c>
      <c r="M17" s="35">
        <f t="shared" ref="M17" si="9">C17+F17+I17</f>
        <v>6162396.2134482367</v>
      </c>
      <c r="N17" s="32">
        <f t="shared" ref="N17" si="10">L17/M17</f>
        <v>0.19568406319375792</v>
      </c>
      <c r="O17" s="33"/>
      <c r="P17" s="37">
        <v>149490633</v>
      </c>
      <c r="Q17" s="36">
        <f t="shared" ref="Q17:Q22" si="11">M17/P17</f>
        <v>4.1222624386427188E-2</v>
      </c>
      <c r="R17" s="27" t="s">
        <v>30</v>
      </c>
      <c r="S17" s="39">
        <f t="shared" si="6"/>
        <v>-3.1315382411370642E-2</v>
      </c>
      <c r="T17" s="41">
        <f t="shared" si="7"/>
        <v>-9.7440059734154441E-2</v>
      </c>
    </row>
    <row r="18" spans="1:20" x14ac:dyDescent="0.2">
      <c r="A18" s="87" t="s">
        <v>36</v>
      </c>
      <c r="B18" s="30">
        <f>'[11]Table 3.1-UAA Summary'!$E$41</f>
        <v>209088.81601445811</v>
      </c>
      <c r="C18" s="31">
        <f>'[11]Table 3.1-UAA Summary'!$F$41</f>
        <v>844256.75095111423</v>
      </c>
      <c r="D18" s="32">
        <f>'[11]Table 3.1-UAA Summary'!$G$41</f>
        <v>0.24766022395308648</v>
      </c>
      <c r="E18" s="30">
        <f>'[11]Table 3.1-UAA Summary'!$H$41</f>
        <v>743853.02933801454</v>
      </c>
      <c r="F18" s="31">
        <f>'[11]Table 3.1-UAA Summary'!$I$41</f>
        <v>1274451.8954498051</v>
      </c>
      <c r="G18" s="32">
        <f>'[11]Table 3.1-UAA Summary'!$J$41</f>
        <v>0.58366505004528169</v>
      </c>
      <c r="H18" s="30">
        <f>'[11]Table 3.1-UAA Summary'!$K$41</f>
        <v>258007.80845018459</v>
      </c>
      <c r="I18" s="31">
        <f>'[11]Table 3.1-UAA Summary'!$L$41</f>
        <v>3795874.2997866254</v>
      </c>
      <c r="J18" s="32">
        <f>'[11]Table 3.1-UAA Summary'!$M$41</f>
        <v>6.7970588084196509E-2</v>
      </c>
      <c r="K18" s="33"/>
      <c r="L18" s="34">
        <f>B18+E18+H18</f>
        <v>1210949.6538026573</v>
      </c>
      <c r="M18" s="35">
        <f t="shared" ref="M18" si="12">C18+F18+I18</f>
        <v>5914582.9461875446</v>
      </c>
      <c r="N18" s="32">
        <f t="shared" ref="N18" si="13">L18/M18</f>
        <v>0.20473965194506538</v>
      </c>
      <c r="O18" s="33"/>
      <c r="P18" s="42">
        <v>146402059</v>
      </c>
      <c r="Q18" s="36">
        <f t="shared" si="11"/>
        <v>4.0399588548051396E-2</v>
      </c>
      <c r="R18" s="27" t="s">
        <v>36</v>
      </c>
      <c r="S18" s="39">
        <f t="shared" ref="S18" si="14">(P18-P17)/P17</f>
        <v>-2.0660652363415972E-2</v>
      </c>
      <c r="T18" s="41">
        <f t="shared" ref="T18" si="15">(M18-M17)/M17</f>
        <v>-4.0213783514907335E-2</v>
      </c>
    </row>
    <row r="19" spans="1:20" x14ac:dyDescent="0.2">
      <c r="A19" s="87" t="s">
        <v>37</v>
      </c>
      <c r="B19" s="43">
        <v>214608.77439035929</v>
      </c>
      <c r="C19" s="44">
        <v>849098.50675646751</v>
      </c>
      <c r="D19" s="45">
        <v>0.25274897162422155</v>
      </c>
      <c r="E19" s="46">
        <v>776479.22556559299</v>
      </c>
      <c r="F19" s="47">
        <v>1371062.2012168113</v>
      </c>
      <c r="G19" s="45">
        <v>0.56633406192401137</v>
      </c>
      <c r="H19" s="46">
        <v>273823.81549641292</v>
      </c>
      <c r="I19" s="48">
        <v>3837513.8126380993</v>
      </c>
      <c r="J19" s="45">
        <v>7.1354483362282076E-2</v>
      </c>
      <c r="K19" s="33"/>
      <c r="L19" s="34">
        <f t="shared" ref="L19" si="16">B19+E19+H19</f>
        <v>1264911.8154523652</v>
      </c>
      <c r="M19" s="35">
        <f t="shared" ref="M19" si="17">C19+F19+I19</f>
        <v>6057674.5206113784</v>
      </c>
      <c r="N19" s="32">
        <f t="shared" ref="N19" si="18">L19/M19</f>
        <v>0.20881145250516076</v>
      </c>
      <c r="O19" s="33"/>
      <c r="P19" s="42">
        <v>142569982</v>
      </c>
      <c r="Q19" s="36">
        <f t="shared" si="11"/>
        <v>4.2489130149510564E-2</v>
      </c>
      <c r="R19" s="27" t="s">
        <v>37</v>
      </c>
      <c r="S19" s="39">
        <f t="shared" ref="S19" si="19">(P19-P18)/P18</f>
        <v>-2.6175021213328702E-2</v>
      </c>
      <c r="T19" s="41">
        <f t="shared" ref="T19" si="20">(M19-M18)/M18</f>
        <v>2.4193011701031015E-2</v>
      </c>
    </row>
    <row r="20" spans="1:20" x14ac:dyDescent="0.2">
      <c r="A20" s="88" t="s">
        <v>38</v>
      </c>
      <c r="B20" s="80">
        <v>214975.28273680087</v>
      </c>
      <c r="C20" s="81">
        <v>783272.83519752813</v>
      </c>
      <c r="D20" s="82">
        <v>0.27445772798004381</v>
      </c>
      <c r="E20" s="83">
        <v>859911.01903951785</v>
      </c>
      <c r="F20" s="84">
        <v>1314093.8208718104</v>
      </c>
      <c r="G20" s="82">
        <v>0.65437566586305562</v>
      </c>
      <c r="H20" s="83">
        <v>248929.45299110183</v>
      </c>
      <c r="I20" s="85">
        <v>3197669.5453668665</v>
      </c>
      <c r="J20" s="82">
        <v>7.7847147574013092E-2</v>
      </c>
      <c r="K20" s="75"/>
      <c r="L20" s="34">
        <f t="shared" ref="L20:M22" si="21">B20+E20+H20</f>
        <v>1323815.7547674207</v>
      </c>
      <c r="M20" s="35">
        <f t="shared" si="21"/>
        <v>5295036.2014362048</v>
      </c>
      <c r="N20" s="32">
        <f>L20/M20</f>
        <v>0.2500107089746344</v>
      </c>
      <c r="O20" s="75"/>
      <c r="P20" s="11">
        <v>129184156</v>
      </c>
      <c r="Q20" s="36">
        <f t="shared" ref="Q20:Q21" si="22">M20/P20</f>
        <v>4.098827879044397E-2</v>
      </c>
      <c r="R20" s="77" t="s">
        <v>38</v>
      </c>
      <c r="S20" s="39">
        <f t="shared" ref="S20" si="23">(P20-P18)/P18</f>
        <v>-0.11760697300029094</v>
      </c>
      <c r="T20" s="41">
        <f t="shared" ref="T20" si="24">(M20-M18)/M18</f>
        <v>-0.10474901618392057</v>
      </c>
    </row>
    <row r="21" spans="1:20" x14ac:dyDescent="0.2">
      <c r="A21" s="88" t="s">
        <v>40</v>
      </c>
      <c r="B21" s="80">
        <v>233232</v>
      </c>
      <c r="C21" s="81">
        <v>819361</v>
      </c>
      <c r="D21" s="82">
        <v>0.28499999999999998</v>
      </c>
      <c r="E21" s="83">
        <v>885035</v>
      </c>
      <c r="F21" s="84">
        <v>1345165</v>
      </c>
      <c r="G21" s="82">
        <v>0.65800000000000003</v>
      </c>
      <c r="H21" s="83">
        <v>270900</v>
      </c>
      <c r="I21" s="85">
        <v>3425572</v>
      </c>
      <c r="J21" s="82">
        <v>7.9000000000000001E-2</v>
      </c>
      <c r="K21" s="75"/>
      <c r="L21" s="34">
        <f t="shared" si="21"/>
        <v>1389167</v>
      </c>
      <c r="M21" s="35">
        <f t="shared" si="21"/>
        <v>5590098</v>
      </c>
      <c r="N21" s="32">
        <f>L21/M21</f>
        <v>0.24850494570935966</v>
      </c>
      <c r="O21" s="75"/>
      <c r="P21" s="94">
        <v>128828978</v>
      </c>
      <c r="Q21" s="36">
        <f t="shared" si="22"/>
        <v>4.3391619546962489E-2</v>
      </c>
      <c r="R21" s="77" t="s">
        <v>40</v>
      </c>
      <c r="S21" s="39">
        <f t="shared" ref="S21" si="25">(P21-P18)/P18</f>
        <v>-0.12003301811486135</v>
      </c>
      <c r="T21" s="41">
        <f t="shared" ref="T21" si="26">(M21-M18)/M18</f>
        <v>-5.486184725783632E-2</v>
      </c>
    </row>
    <row r="22" spans="1:20" x14ac:dyDescent="0.2">
      <c r="A22" s="88" t="s">
        <v>41</v>
      </c>
      <c r="B22" s="80">
        <v>225998</v>
      </c>
      <c r="C22" s="81">
        <v>774810</v>
      </c>
      <c r="D22" s="82">
        <v>0.29199999999999998</v>
      </c>
      <c r="E22" s="98">
        <v>861900</v>
      </c>
      <c r="F22" s="99">
        <v>1338162</v>
      </c>
      <c r="G22" s="100">
        <v>0.64410000000000001</v>
      </c>
      <c r="H22" s="83">
        <v>273821</v>
      </c>
      <c r="I22" s="85">
        <v>3441791</v>
      </c>
      <c r="J22" s="82">
        <v>0.08</v>
      </c>
      <c r="K22" s="75"/>
      <c r="L22" s="34">
        <f t="shared" si="21"/>
        <v>1361719</v>
      </c>
      <c r="M22" s="35">
        <f t="shared" si="21"/>
        <v>5554763</v>
      </c>
      <c r="N22" s="32">
        <f>L22/M22</f>
        <v>0.24514439229900536</v>
      </c>
      <c r="O22" s="75"/>
      <c r="P22" s="107">
        <v>127262625</v>
      </c>
      <c r="Q22" s="106">
        <f t="shared" si="11"/>
        <v>4.3648030991031345E-2</v>
      </c>
      <c r="R22" s="77" t="s">
        <v>41</v>
      </c>
      <c r="S22" s="39">
        <f t="shared" ref="S22" si="27">(P22-P19)/P19</f>
        <v>-0.10736732084317721</v>
      </c>
      <c r="T22" s="41">
        <f t="shared" ref="T22" si="28">(M22-M19)/M19</f>
        <v>-8.3020558285231444E-2</v>
      </c>
    </row>
    <row r="23" spans="1:20" x14ac:dyDescent="0.2">
      <c r="B23" s="6"/>
      <c r="C23" s="6"/>
      <c r="D23" s="7"/>
      <c r="E23" s="6"/>
      <c r="F23" s="6"/>
      <c r="G23" s="7"/>
      <c r="H23" s="6"/>
      <c r="I23" s="6"/>
      <c r="J23" s="7"/>
      <c r="K23" s="1"/>
      <c r="L23" s="6"/>
      <c r="M23" s="6"/>
      <c r="N23" s="1"/>
      <c r="R23" s="92" t="s">
        <v>34</v>
      </c>
      <c r="S23" s="10">
        <f>AVERAGE(S8:S22)</f>
        <v>-4.6810132488222779E-2</v>
      </c>
      <c r="T23" s="10">
        <f>AVERAGE(T8:T22)</f>
        <v>-4.5057035384033849E-2</v>
      </c>
    </row>
    <row r="24" spans="1:20" x14ac:dyDescent="0.2">
      <c r="N24" s="15"/>
      <c r="O24" s="15"/>
      <c r="P24" s="15"/>
      <c r="Q24" s="15"/>
      <c r="R24" s="93" t="s">
        <v>35</v>
      </c>
      <c r="S24" s="16"/>
      <c r="T24" s="16">
        <f>(T23-S23)/S23</f>
        <v>-3.7451231410848961E-2</v>
      </c>
    </row>
    <row r="25" spans="1:20" x14ac:dyDescent="0.2">
      <c r="I25" s="17"/>
      <c r="N25" s="15"/>
      <c r="O25" s="15"/>
      <c r="P25" s="15"/>
      <c r="Q25" s="15"/>
      <c r="R25" s="91"/>
      <c r="S25" s="18"/>
      <c r="T25" s="18"/>
    </row>
    <row r="26" spans="1:20" x14ac:dyDescent="0.2">
      <c r="N26" s="15"/>
      <c r="O26" s="15"/>
      <c r="P26" s="15" t="s">
        <v>31</v>
      </c>
      <c r="Q26" s="15"/>
      <c r="R26" s="91"/>
      <c r="S26" s="19">
        <f>SUM(S8:S22)</f>
        <v>-0.70215198732334172</v>
      </c>
      <c r="T26" s="19">
        <f>SUM(T8:T22)</f>
        <v>-0.67585553076050775</v>
      </c>
    </row>
    <row r="27" spans="1:20" x14ac:dyDescent="0.2">
      <c r="N27" s="15"/>
      <c r="O27" s="15"/>
      <c r="P27" s="15" t="s">
        <v>32</v>
      </c>
      <c r="Q27" s="15"/>
      <c r="R27" s="91"/>
      <c r="S27" s="20">
        <f>SUM(S10:S22)</f>
        <v>-0.55832456307064016</v>
      </c>
      <c r="T27" s="20">
        <f>SUM(T10:T22)</f>
        <v>-0.4096911876011099</v>
      </c>
    </row>
    <row r="28" spans="1:20" x14ac:dyDescent="0.2">
      <c r="B28" s="101" t="s">
        <v>20</v>
      </c>
      <c r="C28" s="101"/>
      <c r="D28" s="101"/>
      <c r="E28" s="101"/>
      <c r="F28" s="101"/>
      <c r="G28" s="101"/>
      <c r="H28" s="101"/>
      <c r="I28" s="101"/>
      <c r="J28" s="101"/>
    </row>
    <row r="29" spans="1:20" x14ac:dyDescent="0.2">
      <c r="B29" s="102" t="s">
        <v>0</v>
      </c>
      <c r="C29" s="103"/>
      <c r="D29" s="103"/>
      <c r="E29" s="103" t="s">
        <v>12</v>
      </c>
      <c r="F29" s="103"/>
      <c r="G29" s="103"/>
      <c r="H29" s="103" t="s">
        <v>13</v>
      </c>
      <c r="I29" s="103"/>
      <c r="J29" s="104"/>
      <c r="L29" s="102" t="s">
        <v>14</v>
      </c>
      <c r="M29" s="103"/>
      <c r="N29" s="104"/>
      <c r="P29" s="66" t="s">
        <v>15</v>
      </c>
      <c r="Q29" s="67" t="s">
        <v>16</v>
      </c>
      <c r="S29" s="70" t="s">
        <v>15</v>
      </c>
      <c r="T29" s="71" t="s">
        <v>16</v>
      </c>
    </row>
    <row r="30" spans="1:20" ht="25.5" x14ac:dyDescent="0.2">
      <c r="B30" s="61" t="s">
        <v>11</v>
      </c>
      <c r="C30" s="62" t="s">
        <v>10</v>
      </c>
      <c r="D30" s="63" t="s">
        <v>9</v>
      </c>
      <c r="E30" s="64" t="s">
        <v>11</v>
      </c>
      <c r="F30" s="62" t="s">
        <v>10</v>
      </c>
      <c r="G30" s="63" t="s">
        <v>9</v>
      </c>
      <c r="H30" s="64" t="s">
        <v>11</v>
      </c>
      <c r="I30" s="62" t="s">
        <v>10</v>
      </c>
      <c r="J30" s="65" t="s">
        <v>9</v>
      </c>
      <c r="L30" s="61" t="s">
        <v>11</v>
      </c>
      <c r="M30" s="62" t="s">
        <v>10</v>
      </c>
      <c r="N30" s="65" t="s">
        <v>9</v>
      </c>
      <c r="P30" s="68" t="s">
        <v>8</v>
      </c>
      <c r="Q30" s="69" t="s">
        <v>17</v>
      </c>
      <c r="S30" s="72" t="s">
        <v>18</v>
      </c>
      <c r="T30" s="73" t="s">
        <v>18</v>
      </c>
    </row>
    <row r="31" spans="1:20" x14ac:dyDescent="0.2">
      <c r="A31" s="87" t="s">
        <v>7</v>
      </c>
      <c r="B31" s="30"/>
      <c r="C31" s="31"/>
      <c r="D31" s="32"/>
      <c r="E31" s="30"/>
      <c r="F31" s="31"/>
      <c r="G31" s="32"/>
      <c r="H31" s="30"/>
      <c r="I31" s="31"/>
      <c r="J31" s="49"/>
      <c r="K31" s="33"/>
      <c r="L31" s="34">
        <f t="shared" ref="L31:L36" si="29">B31+E31+H31</f>
        <v>0</v>
      </c>
      <c r="M31" s="35">
        <f t="shared" ref="M31:M36" si="30">C31+F31+I31</f>
        <v>0</v>
      </c>
      <c r="N31" s="49" t="s">
        <v>19</v>
      </c>
      <c r="O31" s="33"/>
      <c r="P31" s="31">
        <v>101172828</v>
      </c>
      <c r="Q31" s="36">
        <f>M31/P31</f>
        <v>0</v>
      </c>
      <c r="R31" s="27" t="s">
        <v>7</v>
      </c>
      <c r="S31" s="50" t="s">
        <v>19</v>
      </c>
      <c r="T31" s="50" t="s">
        <v>19</v>
      </c>
    </row>
    <row r="32" spans="1:20" x14ac:dyDescent="0.2">
      <c r="A32" s="87" t="s">
        <v>6</v>
      </c>
      <c r="B32" s="30">
        <f>'[12]Table 4.11'!E14</f>
        <v>350467.89982653409</v>
      </c>
      <c r="C32" s="31">
        <f>'[12]Table 4.11'!F14</f>
        <v>1819366.1760404131</v>
      </c>
      <c r="D32" s="49">
        <f>'[12]Table 4.11'!G14</f>
        <v>0.19263186511979502</v>
      </c>
      <c r="E32" s="30">
        <f>'[12]Table 4.11'!H14</f>
        <v>584735.04698559386</v>
      </c>
      <c r="F32" s="31">
        <f>'[12]Table 4.11'!I14</f>
        <v>1466006.3414266154</v>
      </c>
      <c r="G32" s="49">
        <f>'[12]Table 4.11'!J14</f>
        <v>0.39886256318411994</v>
      </c>
      <c r="H32" s="30">
        <f>'[12]Table 4.11'!K14</f>
        <v>3813.3640537427191</v>
      </c>
      <c r="I32" s="31">
        <f>'[12]Table 4.11'!L14</f>
        <v>45979.756417925761</v>
      </c>
      <c r="J32" s="49">
        <f>'[12]Table 4.11'!M14</f>
        <v>8.2935716733289033E-2</v>
      </c>
      <c r="K32" s="33"/>
      <c r="L32" s="34">
        <f t="shared" si="29"/>
        <v>939016.31086587068</v>
      </c>
      <c r="M32" s="35">
        <f t="shared" si="30"/>
        <v>3331352.2738849544</v>
      </c>
      <c r="N32" s="32">
        <f t="shared" ref="N32:N41" si="31">L32/M32</f>
        <v>0.28187241506309063</v>
      </c>
      <c r="O32" s="33"/>
      <c r="P32" s="31">
        <f>[13]fy2004!$K$25</f>
        <v>97926396</v>
      </c>
      <c r="Q32" s="36">
        <f t="shared" ref="Q32:Q41" si="32">M32/P32</f>
        <v>3.4018940857222547E-2</v>
      </c>
      <c r="R32" s="27" t="s">
        <v>6</v>
      </c>
      <c r="S32" s="50" t="s">
        <v>19</v>
      </c>
      <c r="T32" s="50" t="s">
        <v>19</v>
      </c>
    </row>
    <row r="33" spans="1:20" x14ac:dyDescent="0.2">
      <c r="A33" s="87" t="s">
        <v>3</v>
      </c>
      <c r="B33" s="30">
        <f>'[14]Table 4.11'!E42</f>
        <v>317251.72519219073</v>
      </c>
      <c r="C33" s="31">
        <f>'[14]Table 4.11'!F42</f>
        <v>1621540.2934149399</v>
      </c>
      <c r="D33" s="49">
        <f>'[14]Table 4.11'!G42</f>
        <v>0.19564837610298494</v>
      </c>
      <c r="E33" s="30">
        <f>'[14]Table 4.11'!H42</f>
        <v>520610.13752526877</v>
      </c>
      <c r="F33" s="31">
        <f>'[14]Table 4.11'!I42</f>
        <v>1292473.9932370274</v>
      </c>
      <c r="G33" s="49">
        <f>'[14]Table 4.11'!J42</f>
        <v>0.40280124803238021</v>
      </c>
      <c r="H33" s="30">
        <f>'[14]Table 4.11'!K42</f>
        <v>5012.1845957315181</v>
      </c>
      <c r="I33" s="31">
        <f>'[14]Table 4.11'!L42</f>
        <v>43951.733404163308</v>
      </c>
      <c r="J33" s="49">
        <f>'[14]Table 4.11'!M42</f>
        <v>0.11403838273319936</v>
      </c>
      <c r="K33" s="33"/>
      <c r="L33" s="34">
        <f t="shared" si="29"/>
        <v>842874.047313191</v>
      </c>
      <c r="M33" s="35">
        <f t="shared" si="30"/>
        <v>2957966.0200561304</v>
      </c>
      <c r="N33" s="32">
        <f t="shared" si="31"/>
        <v>0.28495055101991895</v>
      </c>
      <c r="O33" s="33"/>
      <c r="P33" s="51">
        <f>[15]fy2008!$K$26</f>
        <v>91696737</v>
      </c>
      <c r="Q33" s="36">
        <f t="shared" si="32"/>
        <v>3.2258138259119627E-2</v>
      </c>
      <c r="R33" s="27" t="s">
        <v>3</v>
      </c>
      <c r="S33" s="39">
        <f t="shared" ref="S33:S38" si="33">(P33-P32)/P32</f>
        <v>-6.3615728286375406E-2</v>
      </c>
      <c r="T33" s="39">
        <f t="shared" ref="T33:T38" si="34">(M33-M32)/M32</f>
        <v>-0.11208248877066029</v>
      </c>
    </row>
    <row r="34" spans="1:20" x14ac:dyDescent="0.2">
      <c r="A34" s="87" t="s">
        <v>4</v>
      </c>
      <c r="B34" s="30">
        <f>'[16]Table 4.11'!E42</f>
        <v>255502.99754541696</v>
      </c>
      <c r="C34" s="31">
        <f>'[16]Table 4.11'!F42</f>
        <v>1226095.8974011508</v>
      </c>
      <c r="D34" s="49">
        <f>'[16]Table 4.11'!G42</f>
        <v>0.20838745002489978</v>
      </c>
      <c r="E34" s="30">
        <f>'[16]Table 4.11'!H42</f>
        <v>611041.34058153757</v>
      </c>
      <c r="F34" s="31">
        <f>'[16]Table 4.11'!I42</f>
        <v>1489470.2509207651</v>
      </c>
      <c r="G34" s="49">
        <f>'[16]Table 4.11'!J42</f>
        <v>0.41024071491444841</v>
      </c>
      <c r="H34" s="30">
        <f>'[16]Table 4.11'!K42</f>
        <v>3681.4421838407584</v>
      </c>
      <c r="I34" s="31">
        <f>'[16]Table 4.11'!L42</f>
        <v>31095.283556831528</v>
      </c>
      <c r="J34" s="49">
        <f>'[16]Table 4.11'!M42</f>
        <v>0.11839230142771791</v>
      </c>
      <c r="K34" s="33"/>
      <c r="L34" s="34">
        <f t="shared" si="29"/>
        <v>870225.78031079529</v>
      </c>
      <c r="M34" s="35">
        <f t="shared" si="30"/>
        <v>2746661.4318787474</v>
      </c>
      <c r="N34" s="32">
        <f t="shared" si="31"/>
        <v>0.31683037822231735</v>
      </c>
      <c r="O34" s="33"/>
      <c r="P34" s="51">
        <f>[17]fy2009!$K$29</f>
        <v>83770183</v>
      </c>
      <c r="Q34" s="36">
        <f t="shared" si="32"/>
        <v>3.2788055767751484E-2</v>
      </c>
      <c r="R34" s="27" t="s">
        <v>4</v>
      </c>
      <c r="S34" s="39">
        <f t="shared" si="33"/>
        <v>-8.6443141373721943E-2</v>
      </c>
      <c r="T34" s="39">
        <f t="shared" si="34"/>
        <v>-7.1435772671037387E-2</v>
      </c>
    </row>
    <row r="35" spans="1:20" x14ac:dyDescent="0.2">
      <c r="A35" s="87" t="s">
        <v>5</v>
      </c>
      <c r="B35" s="30">
        <f>'[18]Table 4.11'!E42</f>
        <v>238992.26758597736</v>
      </c>
      <c r="C35" s="31">
        <f>'[18]Table 4.11'!F42</f>
        <v>1134154.8933696912</v>
      </c>
      <c r="D35" s="49">
        <f>'[18]Table 4.11'!G42</f>
        <v>0.21072277603626668</v>
      </c>
      <c r="E35" s="30">
        <f>'[18]Table 4.11'!H42</f>
        <v>634316.44052749872</v>
      </c>
      <c r="F35" s="31">
        <f>'[18]Table 4.11'!I42</f>
        <v>1507631.4796183063</v>
      </c>
      <c r="G35" s="49">
        <f>'[18]Table 4.11'!J42</f>
        <v>0.42073706280535572</v>
      </c>
      <c r="H35" s="30">
        <f>'[18]Table 4.11'!K42</f>
        <v>5365.4910669702558</v>
      </c>
      <c r="I35" s="31">
        <f>'[18]Table 4.11'!L42</f>
        <v>45285.023956564874</v>
      </c>
      <c r="J35" s="49">
        <f>'[18]Table 4.11'!M42</f>
        <v>0.11848268142944048</v>
      </c>
      <c r="K35" s="33"/>
      <c r="L35" s="34">
        <f t="shared" si="29"/>
        <v>878674.19918044633</v>
      </c>
      <c r="M35" s="35">
        <f t="shared" si="30"/>
        <v>2687071.3969445624</v>
      </c>
      <c r="N35" s="32">
        <f t="shared" si="31"/>
        <v>0.32700068936745652</v>
      </c>
      <c r="O35" s="33"/>
      <c r="P35" s="51">
        <f>[19]fy2010!$L$29</f>
        <v>78203156</v>
      </c>
      <c r="Q35" s="36">
        <f t="shared" si="32"/>
        <v>3.4360140106680127E-2</v>
      </c>
      <c r="R35" s="27" t="s">
        <v>5</v>
      </c>
      <c r="S35" s="39">
        <f t="shared" si="33"/>
        <v>-6.645594889054976E-2</v>
      </c>
      <c r="T35" s="39">
        <f t="shared" si="34"/>
        <v>-2.1695442416950792E-2</v>
      </c>
    </row>
    <row r="36" spans="1:20" x14ac:dyDescent="0.2">
      <c r="A36" s="87" t="s">
        <v>2</v>
      </c>
      <c r="B36" s="30">
        <f>'[20]Table 4.11'!E42</f>
        <v>220263.99198671785</v>
      </c>
      <c r="C36" s="31">
        <f>'[20]Table 4.11'!F42</f>
        <v>1025578.8681435379</v>
      </c>
      <c r="D36" s="49">
        <f>'[20]Table 4.11'!G42</f>
        <v>0.21477040803837055</v>
      </c>
      <c r="E36" s="30">
        <f>'[20]Table 4.11'!H42</f>
        <v>604886.56893672235</v>
      </c>
      <c r="F36" s="31">
        <f>'[20]Table 4.11'!I42</f>
        <v>1423496.8572496851</v>
      </c>
      <c r="G36" s="49">
        <f>'[20]Table 4.11'!J42</f>
        <v>0.42493003469316665</v>
      </c>
      <c r="H36" s="30">
        <f>'[20]Table 4.11'!K42</f>
        <v>7362.1831199347571</v>
      </c>
      <c r="I36" s="31">
        <f>'[20]Table 4.11'!L42</f>
        <v>61171.616057204657</v>
      </c>
      <c r="J36" s="49">
        <f>'[20]Table 4.11'!M42</f>
        <v>0.12035292827722598</v>
      </c>
      <c r="K36" s="33"/>
      <c r="L36" s="34">
        <f t="shared" si="29"/>
        <v>832512.7440433749</v>
      </c>
      <c r="M36" s="35">
        <f t="shared" si="30"/>
        <v>2510247.3414504277</v>
      </c>
      <c r="N36" s="32">
        <f t="shared" si="31"/>
        <v>0.33164570291401912</v>
      </c>
      <c r="O36" s="33"/>
      <c r="P36" s="51">
        <f>[21]fy2011!$L$29</f>
        <v>73520543</v>
      </c>
      <c r="Q36" s="36">
        <f t="shared" si="32"/>
        <v>3.4143482066643978E-2</v>
      </c>
      <c r="R36" s="27" t="s">
        <v>2</v>
      </c>
      <c r="S36" s="39">
        <f t="shared" si="33"/>
        <v>-5.987754509549461E-2</v>
      </c>
      <c r="T36" s="39">
        <f t="shared" si="34"/>
        <v>-6.5805492066641533E-2</v>
      </c>
    </row>
    <row r="37" spans="1:20" x14ac:dyDescent="0.2">
      <c r="A37" s="87" t="s">
        <v>1</v>
      </c>
      <c r="B37" s="52">
        <f>'[22]Table 4.11'!E42</f>
        <v>218897.09291325184</v>
      </c>
      <c r="C37" s="53">
        <f>'[22]Table 4.11'!F42</f>
        <v>1027451.2220139406</v>
      </c>
      <c r="D37" s="54">
        <f>'[22]Table 4.11'!G42</f>
        <v>0.21304864719921646</v>
      </c>
      <c r="E37" s="52">
        <f>'[22]Table 4.11'!H42</f>
        <v>613796.13042648591</v>
      </c>
      <c r="F37" s="55">
        <f>'[22]Table 4.11'!I42</f>
        <v>1446215.0255500851</v>
      </c>
      <c r="G37" s="54">
        <f>'[22]Table 4.11'!J42</f>
        <v>0.42441553958618378</v>
      </c>
      <c r="H37" s="52">
        <f>'[22]Table 4.11'!K42</f>
        <v>7708.1168061280996</v>
      </c>
      <c r="I37" s="55">
        <f>'[22]Table 4.11'!L42</f>
        <v>63476.602449161255</v>
      </c>
      <c r="J37" s="54">
        <f>'[22]Table 4.11'!M42</f>
        <v>0.12143240987577385</v>
      </c>
      <c r="K37" s="33"/>
      <c r="L37" s="34">
        <f t="shared" ref="L37:M41" si="35">B37+E37+H37</f>
        <v>840401.3401458658</v>
      </c>
      <c r="M37" s="35">
        <f t="shared" si="35"/>
        <v>2537142.8500131872</v>
      </c>
      <c r="N37" s="32">
        <f t="shared" si="31"/>
        <v>0.33123926788020536</v>
      </c>
      <c r="O37" s="33"/>
      <c r="P37" s="56">
        <f>[23]fy2012!$L$28</f>
        <v>69639569</v>
      </c>
      <c r="Q37" s="36">
        <f t="shared" si="32"/>
        <v>3.6432489265020969E-2</v>
      </c>
      <c r="R37" s="27" t="s">
        <v>1</v>
      </c>
      <c r="S37" s="39">
        <f t="shared" si="33"/>
        <v>-5.278761338854638E-2</v>
      </c>
      <c r="T37" s="40">
        <f t="shared" si="34"/>
        <v>1.0714286245282586E-2</v>
      </c>
    </row>
    <row r="38" spans="1:20" x14ac:dyDescent="0.2">
      <c r="A38" s="87" t="s">
        <v>23</v>
      </c>
      <c r="B38" s="52">
        <f>'[24]Table 4.11'!$E$42</f>
        <v>193451.41608967297</v>
      </c>
      <c r="C38" s="53">
        <f>'[24]Table 4.11'!$F$42</f>
        <v>964551.53280993528</v>
      </c>
      <c r="D38" s="54">
        <f>'[24]Table 4.11'!$G$42</f>
        <v>0.20056099597510313</v>
      </c>
      <c r="E38" s="52">
        <f>'[24]Table 4.11'!$H$42</f>
        <v>587878.36457324796</v>
      </c>
      <c r="F38" s="55">
        <f>'[24]Table 4.11'!$I$42</f>
        <v>1405623.1093691236</v>
      </c>
      <c r="G38" s="54">
        <f>'[24]Table 4.11'!$J$42</f>
        <v>0.41823328078114869</v>
      </c>
      <c r="H38" s="52">
        <f>'[24]Table 4.11'!$K$42</f>
        <v>8627.7116144237971</v>
      </c>
      <c r="I38" s="55">
        <f>'[24]Table 4.11'!$L$42</f>
        <v>74697.529560245428</v>
      </c>
      <c r="J38" s="54">
        <f>'[24]Table 4.11'!$M$42</f>
        <v>0.11550196727008664</v>
      </c>
      <c r="K38" s="33"/>
      <c r="L38" s="34">
        <f t="shared" si="35"/>
        <v>789957.49227734469</v>
      </c>
      <c r="M38" s="35">
        <f t="shared" si="35"/>
        <v>2444872.1717393044</v>
      </c>
      <c r="N38" s="32">
        <f>L38/M38</f>
        <v>0.32310789145076724</v>
      </c>
      <c r="O38" s="33"/>
      <c r="P38" s="56">
        <f>[25]fy2013!$L$28</f>
        <v>66700419</v>
      </c>
      <c r="Q38" s="36">
        <f>M38/P38</f>
        <v>3.6654524939930357E-2</v>
      </c>
      <c r="R38" s="27" t="s">
        <v>23</v>
      </c>
      <c r="S38" s="39">
        <f t="shared" si="33"/>
        <v>-4.2205172177329241E-2</v>
      </c>
      <c r="T38" s="39">
        <f t="shared" si="34"/>
        <v>-3.6367947620057392E-2</v>
      </c>
    </row>
    <row r="39" spans="1:20" x14ac:dyDescent="0.2">
      <c r="A39" s="87" t="s">
        <v>26</v>
      </c>
      <c r="B39" s="52">
        <v>182289</v>
      </c>
      <c r="C39" s="53">
        <v>927991</v>
      </c>
      <c r="D39" s="54">
        <v>0.19600000000000001</v>
      </c>
      <c r="E39" s="52">
        <v>588153</v>
      </c>
      <c r="F39" s="55">
        <v>1383386</v>
      </c>
      <c r="G39" s="54">
        <v>0.42499999999999999</v>
      </c>
      <c r="H39" s="52">
        <v>7561</v>
      </c>
      <c r="I39" s="55">
        <v>66735</v>
      </c>
      <c r="J39" s="54">
        <v>0.113</v>
      </c>
      <c r="K39" s="33"/>
      <c r="L39" s="34">
        <f>B39+E39+H39</f>
        <v>778003</v>
      </c>
      <c r="M39" s="35">
        <f>C39+F39+I39</f>
        <v>2378112</v>
      </c>
      <c r="N39" s="32">
        <f>L39/M39</f>
        <v>0.32715153869960706</v>
      </c>
      <c r="O39" s="33"/>
      <c r="P39" s="56">
        <f>[26]fy2014!$L$28</f>
        <v>64452475</v>
      </c>
      <c r="Q39" s="36">
        <f>M39/P39</f>
        <v>3.6897140102067454E-2</v>
      </c>
      <c r="R39" s="27" t="s">
        <v>24</v>
      </c>
      <c r="S39" s="39">
        <f t="shared" ref="S39:S44" si="36">(P39-P38)/P38</f>
        <v>-3.3702097133752641E-2</v>
      </c>
      <c r="T39" s="39">
        <f t="shared" ref="T39:T44" si="37">(M39-M38)/M38</f>
        <v>-2.730620132659559E-2</v>
      </c>
    </row>
    <row r="40" spans="1:20" x14ac:dyDescent="0.2">
      <c r="A40" s="87" t="s">
        <v>27</v>
      </c>
      <c r="B40" s="52">
        <v>178176</v>
      </c>
      <c r="C40" s="53">
        <v>921637</v>
      </c>
      <c r="D40" s="54">
        <v>0.193</v>
      </c>
      <c r="E40" s="52">
        <v>597600</v>
      </c>
      <c r="F40" s="55">
        <v>1377508</v>
      </c>
      <c r="G40" s="54">
        <v>0.434</v>
      </c>
      <c r="H40" s="52">
        <v>10200</v>
      </c>
      <c r="I40" s="55">
        <v>93592</v>
      </c>
      <c r="J40" s="54">
        <v>0.109</v>
      </c>
      <c r="K40" s="33"/>
      <c r="L40" s="34">
        <f>B40+E40+H40</f>
        <v>785976</v>
      </c>
      <c r="M40" s="35">
        <f>C40+F40+I40</f>
        <v>2392737</v>
      </c>
      <c r="N40" s="32">
        <f>L40/M40</f>
        <v>0.32848407493176224</v>
      </c>
      <c r="O40" s="33"/>
      <c r="P40" s="56">
        <f>[27]fy2015!$L$28</f>
        <v>63305152</v>
      </c>
      <c r="Q40" s="36">
        <f>M40/P40</f>
        <v>3.7796876311109721E-2</v>
      </c>
      <c r="R40" s="27" t="s">
        <v>27</v>
      </c>
      <c r="S40" s="39">
        <f t="shared" si="36"/>
        <v>-1.7801069702909005E-2</v>
      </c>
      <c r="T40" s="40">
        <f t="shared" si="37"/>
        <v>6.1498365089617309E-3</v>
      </c>
    </row>
    <row r="41" spans="1:20" x14ac:dyDescent="0.2">
      <c r="A41" s="87" t="s">
        <v>28</v>
      </c>
      <c r="B41" s="52">
        <f>'[28]Table 4.11'!$E$42</f>
        <v>182233.56001600449</v>
      </c>
      <c r="C41" s="53">
        <f>'[28]Table 4.11'!$F$42</f>
        <v>902159.05486438866</v>
      </c>
      <c r="D41" s="54">
        <f>'[28]Table 4.11'!$G$42</f>
        <v>0.20199715231301157</v>
      </c>
      <c r="E41" s="52">
        <f>'[28]Table 4.11'!$H$42</f>
        <v>586746.15527178999</v>
      </c>
      <c r="F41" s="55">
        <f>'[28]Table 4.11'!$I$42</f>
        <v>1345916.4492388479</v>
      </c>
      <c r="G41" s="54">
        <f>'[28]Table 4.11'!$J$42</f>
        <v>0.43594545233740978</v>
      </c>
      <c r="H41" s="52">
        <f>'[28]Table 4.11'!$K$42</f>
        <v>11412.898090750577</v>
      </c>
      <c r="I41" s="55">
        <f>'[28]Table 4.11'!$L$42</f>
        <v>103054.31458770715</v>
      </c>
      <c r="J41" s="54">
        <f>'[28]Table 4.11'!$M$42</f>
        <v>0.11074643634679966</v>
      </c>
      <c r="K41" s="33"/>
      <c r="L41" s="34">
        <f t="shared" si="35"/>
        <v>780392.61337854504</v>
      </c>
      <c r="M41" s="35">
        <f t="shared" si="35"/>
        <v>2351129.818690944</v>
      </c>
      <c r="N41" s="32">
        <f t="shared" si="31"/>
        <v>0.33192238351732106</v>
      </c>
      <c r="O41" s="33"/>
      <c r="P41" s="56">
        <f>[29]fy2016!$L$28</f>
        <v>62250162</v>
      </c>
      <c r="Q41" s="36">
        <f t="shared" si="32"/>
        <v>3.7769055423356873E-2</v>
      </c>
      <c r="R41" s="27" t="s">
        <v>28</v>
      </c>
      <c r="S41" s="39">
        <f t="shared" si="36"/>
        <v>-1.6665152308614629E-2</v>
      </c>
      <c r="T41" s="39">
        <f t="shared" si="37"/>
        <v>-1.7388948851903074E-2</v>
      </c>
    </row>
    <row r="42" spans="1:20" x14ac:dyDescent="0.2">
      <c r="A42" s="87" t="s">
        <v>30</v>
      </c>
      <c r="B42" s="52">
        <f>'[30]Table 4.11'!$E$42</f>
        <v>171953.40912939789</v>
      </c>
      <c r="C42" s="53">
        <f>'[30]Table 4.11'!$F$42</f>
        <v>821573.24351237447</v>
      </c>
      <c r="D42" s="54">
        <f>'[30]Table 4.11'!$G$42</f>
        <v>0.20929772298117438</v>
      </c>
      <c r="E42" s="52">
        <f>'[30]Table 4.11'!$H$42</f>
        <v>543651.00861688331</v>
      </c>
      <c r="F42" s="55">
        <f>'[30]Table 4.11'!$I$42</f>
        <v>1231204.417058164</v>
      </c>
      <c r="G42" s="54">
        <f>'[30]Table 4.11'!$J$42</f>
        <v>0.44156031369338433</v>
      </c>
      <c r="H42" s="52">
        <f>'[30]Table 4.11'!$K$42</f>
        <v>11887.86285335198</v>
      </c>
      <c r="I42" s="55">
        <f>'[30]Table 4.11'!$L$42</f>
        <v>101482.40841871603</v>
      </c>
      <c r="J42" s="54">
        <f>'[30]Table 4.11'!$M$42</f>
        <v>0.11714210412018114</v>
      </c>
      <c r="K42" s="33"/>
      <c r="L42" s="34">
        <f t="shared" ref="L42" si="38">B42+E42+H42</f>
        <v>727492.28059963323</v>
      </c>
      <c r="M42" s="35">
        <f t="shared" ref="M42" si="39">C42+F42+I42</f>
        <v>2154260.0689892545</v>
      </c>
      <c r="N42" s="32">
        <f t="shared" ref="N42" si="40">L42/M42</f>
        <v>0.33769937579586728</v>
      </c>
      <c r="O42" s="33"/>
      <c r="P42" s="56">
        <f>[31]fy2017!$L$28</f>
        <v>59733459</v>
      </c>
      <c r="Q42" s="36">
        <f t="shared" ref="Q42:Q47" si="41">M42/P42</f>
        <v>3.6064545818270032E-2</v>
      </c>
      <c r="R42" s="27" t="s">
        <v>30</v>
      </c>
      <c r="S42" s="39">
        <f t="shared" si="36"/>
        <v>-4.0428858642970279E-2</v>
      </c>
      <c r="T42" s="39">
        <f t="shared" si="37"/>
        <v>-8.3734104402326065E-2</v>
      </c>
    </row>
    <row r="43" spans="1:20" ht="12.75" customHeight="1" x14ac:dyDescent="0.2">
      <c r="A43" s="87" t="s">
        <v>36</v>
      </c>
      <c r="B43" s="43">
        <f>'[32]Table 4.11'!$E$42</f>
        <v>164815.45831088661</v>
      </c>
      <c r="C43" s="44">
        <f>'[32]Table 4.11'!$F$42</f>
        <v>785161.30828641891</v>
      </c>
      <c r="D43" s="45">
        <f>'[32]Table 4.11'!$G$42</f>
        <v>0.2099128632186287</v>
      </c>
      <c r="E43" s="46">
        <f>'[32]Table 4.11'!$H$42</f>
        <v>551961.91058111761</v>
      </c>
      <c r="F43" s="47">
        <f>'[32]Table 4.11'!$I$42</f>
        <v>1206928.8876486134</v>
      </c>
      <c r="G43" s="45">
        <f>'[32]Table 4.11'!$J$42</f>
        <v>0.45732761576075259</v>
      </c>
      <c r="H43" s="46">
        <f>'[32]Table 4.11'!$K$42</f>
        <v>14477.242717421692</v>
      </c>
      <c r="I43" s="48">
        <f>'[32]Table 4.11'!$L$42</f>
        <v>126338.60829723028</v>
      </c>
      <c r="J43" s="45">
        <f>'[32]Table 4.11'!$M$42</f>
        <v>0.11459080412981781</v>
      </c>
      <c r="K43" s="33"/>
      <c r="L43" s="34">
        <f t="shared" ref="L43" si="42">B43+E43+H43</f>
        <v>731254.61160942598</v>
      </c>
      <c r="M43" s="35">
        <f t="shared" ref="M43" si="43">C43+F43+I43</f>
        <v>2118428.8042322625</v>
      </c>
      <c r="N43" s="32">
        <f t="shared" ref="N43" si="44">L43/M43</f>
        <v>0.34518724922381289</v>
      </c>
      <c r="O43" s="33"/>
      <c r="P43" s="57">
        <v>57466216</v>
      </c>
      <c r="Q43" s="36">
        <f t="shared" si="41"/>
        <v>3.6863899377544931E-2</v>
      </c>
      <c r="R43" s="27" t="s">
        <v>36</v>
      </c>
      <c r="S43" s="39">
        <f t="shared" si="36"/>
        <v>-3.7955997157305091E-2</v>
      </c>
      <c r="T43" s="39">
        <f t="shared" si="37"/>
        <v>-1.6632747954987381E-2</v>
      </c>
    </row>
    <row r="44" spans="1:20" ht="12.75" customHeight="1" x14ac:dyDescent="0.2">
      <c r="A44" s="87" t="s">
        <v>37</v>
      </c>
      <c r="B44" s="58">
        <v>172753.39535096398</v>
      </c>
      <c r="C44" s="42">
        <v>792593.89808997686</v>
      </c>
      <c r="D44" s="59">
        <v>0.2179595323245255</v>
      </c>
      <c r="E44" s="58">
        <v>589437.77585666033</v>
      </c>
      <c r="F44" s="42">
        <v>1304474.3674784566</v>
      </c>
      <c r="G44" s="59">
        <v>0.45185845774496974</v>
      </c>
      <c r="H44" s="58">
        <v>20155.410509931105</v>
      </c>
      <c r="I44" s="42">
        <v>169754.98890634935</v>
      </c>
      <c r="J44" s="59">
        <v>0.11873236032580149</v>
      </c>
      <c r="K44" s="60"/>
      <c r="L44" s="34">
        <f t="shared" ref="L44" si="45">B44+E44+H44</f>
        <v>782346.58171755541</v>
      </c>
      <c r="M44" s="35">
        <f t="shared" ref="M44" si="46">C44+F44+I44</f>
        <v>2266823.2544747829</v>
      </c>
      <c r="N44" s="32">
        <f t="shared" ref="N44:N45" si="47">L44/M44</f>
        <v>0.3451290611975053</v>
      </c>
      <c r="O44" s="33"/>
      <c r="P44" s="57">
        <v>55632479</v>
      </c>
      <c r="Q44" s="36">
        <f t="shared" si="41"/>
        <v>4.0746400218382911E-2</v>
      </c>
      <c r="R44" s="27" t="s">
        <v>37</v>
      </c>
      <c r="S44" s="39">
        <f t="shared" si="36"/>
        <v>-3.1909826810242736E-2</v>
      </c>
      <c r="T44" s="39">
        <f t="shared" si="37"/>
        <v>7.0049297831512342E-2</v>
      </c>
    </row>
    <row r="45" spans="1:20" ht="12.75" customHeight="1" x14ac:dyDescent="0.2">
      <c r="A45" s="88" t="s">
        <v>38</v>
      </c>
      <c r="B45" s="13">
        <v>170273.60276391683</v>
      </c>
      <c r="C45" s="11">
        <v>733792.1126681699</v>
      </c>
      <c r="D45" s="14">
        <v>0.23204610655295599</v>
      </c>
      <c r="E45" s="13">
        <v>635029.54290324112</v>
      </c>
      <c r="F45" s="11">
        <v>1247612.3487060305</v>
      </c>
      <c r="G45" s="14">
        <v>0.50899587805608548</v>
      </c>
      <c r="H45" s="13">
        <v>30337.400859883302</v>
      </c>
      <c r="I45" s="11">
        <v>245219.04547429405</v>
      </c>
      <c r="J45" s="14">
        <v>0.12371551647306094</v>
      </c>
      <c r="L45" s="34">
        <f>B45+E45+H45</f>
        <v>835640.54652704124</v>
      </c>
      <c r="M45" s="35">
        <f>C45+F45+I45</f>
        <v>2226623.5068484945</v>
      </c>
      <c r="N45" s="32">
        <f t="shared" si="47"/>
        <v>0.37529494499489285</v>
      </c>
      <c r="O45" s="75"/>
      <c r="P45" s="76">
        <v>52948948</v>
      </c>
      <c r="Q45" s="36">
        <f t="shared" ref="Q45:Q46" si="48">M45/P45</f>
        <v>4.2052270931775541E-2</v>
      </c>
      <c r="R45" s="77" t="s">
        <v>38</v>
      </c>
      <c r="S45" s="39">
        <f t="shared" ref="S45" si="49">(P45-P43)/P43</f>
        <v>-7.860736819699421E-2</v>
      </c>
      <c r="T45" s="39">
        <f t="shared" ref="T45" si="50">(M45-M43)/M43</f>
        <v>5.1073088885535009E-2</v>
      </c>
    </row>
    <row r="46" spans="1:20" ht="12.75" customHeight="1" x14ac:dyDescent="0.2">
      <c r="A46" s="88" t="s">
        <v>40</v>
      </c>
      <c r="B46" s="13">
        <v>189220</v>
      </c>
      <c r="C46" s="11">
        <v>773344</v>
      </c>
      <c r="D46" s="14">
        <v>0.245</v>
      </c>
      <c r="E46" s="13">
        <v>666276</v>
      </c>
      <c r="F46" s="11">
        <v>1281966</v>
      </c>
      <c r="G46" s="14">
        <v>0.52</v>
      </c>
      <c r="H46" s="13">
        <v>26302</v>
      </c>
      <c r="I46" s="11">
        <v>215369</v>
      </c>
      <c r="J46" s="14">
        <v>0.122</v>
      </c>
      <c r="L46" s="34">
        <f>B46+E46+H46</f>
        <v>881798</v>
      </c>
      <c r="M46" s="35">
        <f>C46+F46+I46</f>
        <v>2270679</v>
      </c>
      <c r="N46" s="32">
        <f>L46/M46</f>
        <v>0.38834110854066117</v>
      </c>
      <c r="O46" s="75"/>
      <c r="P46" s="95">
        <v>50832788</v>
      </c>
      <c r="Q46" s="36">
        <f t="shared" si="48"/>
        <v>4.4669574291301903E-2</v>
      </c>
      <c r="R46" s="77" t="s">
        <v>40</v>
      </c>
      <c r="S46" s="39">
        <f t="shared" ref="S46" si="51">(P46-P43)/P43</f>
        <v>-0.11543178691285329</v>
      </c>
      <c r="T46" s="39">
        <f t="shared" ref="T46" si="52">(M46-M43)/M43</f>
        <v>7.1869394649264257E-2</v>
      </c>
    </row>
    <row r="47" spans="1:20" ht="12.75" customHeight="1" x14ac:dyDescent="0.2">
      <c r="A47" s="88" t="s">
        <v>41</v>
      </c>
      <c r="B47" s="13">
        <v>187087</v>
      </c>
      <c r="C47" s="11">
        <v>734948</v>
      </c>
      <c r="D47" s="14">
        <v>0.255</v>
      </c>
      <c r="E47" s="13">
        <v>656328</v>
      </c>
      <c r="F47" s="11">
        <v>1278191</v>
      </c>
      <c r="G47" s="14">
        <v>0.51300000000000001</v>
      </c>
      <c r="H47" s="13">
        <v>29900</v>
      </c>
      <c r="I47" s="11">
        <v>238961</v>
      </c>
      <c r="J47" s="14">
        <v>0.125</v>
      </c>
      <c r="L47" s="96">
        <f>B47+E47+H47</f>
        <v>873315</v>
      </c>
      <c r="M47" s="97">
        <v>2252100</v>
      </c>
      <c r="N47" s="32">
        <f>L47/M47</f>
        <v>0.38777807379778872</v>
      </c>
      <c r="O47" s="75"/>
      <c r="P47" s="105">
        <v>49090130</v>
      </c>
      <c r="Q47" s="106">
        <f t="shared" si="41"/>
        <v>4.5876839193540533E-2</v>
      </c>
      <c r="R47" s="77" t="s">
        <v>41</v>
      </c>
      <c r="S47" s="39">
        <f t="shared" ref="S47" si="53">(P47-P44)/P44</f>
        <v>-0.11759945121266302</v>
      </c>
      <c r="T47" s="39">
        <f t="shared" ref="T47" si="54">(M47-M44)/M44</f>
        <v>-6.4951047443679907E-3</v>
      </c>
    </row>
    <row r="48" spans="1:20" x14ac:dyDescent="0.2">
      <c r="B48" s="5"/>
      <c r="C48" s="5"/>
      <c r="D48" s="5"/>
      <c r="E48" s="5"/>
      <c r="F48" s="5"/>
      <c r="G48" s="5"/>
      <c r="H48" s="5"/>
      <c r="I48" s="5"/>
      <c r="J48" s="5"/>
      <c r="K48" s="1"/>
      <c r="L48" s="5"/>
      <c r="M48" s="5"/>
      <c r="N48" s="5"/>
      <c r="R48" s="92" t="s">
        <v>33</v>
      </c>
      <c r="S48" s="10">
        <f>AVERAGE(S33:S47)</f>
        <v>-5.7432450486021483E-2</v>
      </c>
      <c r="T48" s="10">
        <f>AVERAGE(T33:T47)</f>
        <v>-1.6605889780331434E-2</v>
      </c>
    </row>
    <row r="49" spans="1:20" x14ac:dyDescent="0.2">
      <c r="B49" s="8"/>
      <c r="C49" s="9"/>
      <c r="D49" s="8"/>
      <c r="E49" s="8"/>
      <c r="F49" s="9"/>
      <c r="G49" s="8"/>
      <c r="H49" s="8"/>
      <c r="I49" s="9"/>
      <c r="J49" s="8"/>
      <c r="K49" s="8"/>
      <c r="L49" s="8"/>
      <c r="M49" s="9"/>
      <c r="N49" s="5"/>
      <c r="R49" s="90"/>
      <c r="S49" s="3"/>
      <c r="T49" s="3"/>
    </row>
    <row r="50" spans="1:20" x14ac:dyDescent="0.2">
      <c r="B50" s="101" t="s">
        <v>29</v>
      </c>
      <c r="C50" s="101"/>
      <c r="D50" s="101"/>
      <c r="E50" s="101"/>
      <c r="F50" s="101"/>
      <c r="G50" s="101"/>
      <c r="H50" s="101"/>
      <c r="I50" s="101"/>
      <c r="J50" s="101"/>
    </row>
    <row r="51" spans="1:20" x14ac:dyDescent="0.2">
      <c r="B51" s="102" t="s">
        <v>0</v>
      </c>
      <c r="C51" s="103"/>
      <c r="D51" s="103"/>
      <c r="E51" s="103" t="s">
        <v>12</v>
      </c>
      <c r="F51" s="103"/>
      <c r="G51" s="103"/>
      <c r="H51" s="103" t="s">
        <v>13</v>
      </c>
      <c r="I51" s="103"/>
      <c r="J51" s="104"/>
      <c r="L51" s="102" t="s">
        <v>14</v>
      </c>
      <c r="M51" s="103"/>
      <c r="N51" s="104"/>
      <c r="P51" s="66" t="s">
        <v>15</v>
      </c>
      <c r="Q51" s="67" t="s">
        <v>16</v>
      </c>
      <c r="S51" s="70" t="s">
        <v>15</v>
      </c>
      <c r="T51" s="71" t="s">
        <v>16</v>
      </c>
    </row>
    <row r="52" spans="1:20" ht="25.5" x14ac:dyDescent="0.2">
      <c r="B52" s="61" t="s">
        <v>11</v>
      </c>
      <c r="C52" s="62" t="s">
        <v>10</v>
      </c>
      <c r="D52" s="63" t="s">
        <v>9</v>
      </c>
      <c r="E52" s="64" t="s">
        <v>11</v>
      </c>
      <c r="F52" s="62" t="s">
        <v>10</v>
      </c>
      <c r="G52" s="63" t="s">
        <v>9</v>
      </c>
      <c r="H52" s="64" t="s">
        <v>11</v>
      </c>
      <c r="I52" s="62" t="s">
        <v>10</v>
      </c>
      <c r="J52" s="65" t="s">
        <v>9</v>
      </c>
      <c r="L52" s="61" t="s">
        <v>11</v>
      </c>
      <c r="M52" s="62" t="s">
        <v>10</v>
      </c>
      <c r="N52" s="65" t="s">
        <v>9</v>
      </c>
      <c r="P52" s="68" t="s">
        <v>8</v>
      </c>
      <c r="Q52" s="69" t="s">
        <v>17</v>
      </c>
      <c r="S52" s="72" t="s">
        <v>18</v>
      </c>
      <c r="T52" s="73" t="s">
        <v>18</v>
      </c>
    </row>
    <row r="53" spans="1:20" x14ac:dyDescent="0.2">
      <c r="A53" s="87" t="s">
        <v>7</v>
      </c>
      <c r="B53" s="30"/>
      <c r="C53" s="31"/>
      <c r="D53" s="32"/>
      <c r="E53" s="30"/>
      <c r="F53" s="31"/>
      <c r="G53" s="32"/>
      <c r="H53" s="30"/>
      <c r="I53" s="31"/>
      <c r="J53" s="32"/>
      <c r="K53" s="33"/>
      <c r="L53" s="34">
        <f t="shared" ref="L53:L58" si="55">B53+E53+H53</f>
        <v>0</v>
      </c>
      <c r="M53" s="35">
        <f t="shared" ref="M53:M58" si="56">C53+F53+I53</f>
        <v>0</v>
      </c>
      <c r="N53" s="49" t="s">
        <v>19</v>
      </c>
      <c r="O53" s="33"/>
      <c r="P53" s="31">
        <v>82874650</v>
      </c>
      <c r="Q53" s="36">
        <f>M53/P53</f>
        <v>0</v>
      </c>
      <c r="R53" s="27" t="s">
        <v>7</v>
      </c>
      <c r="S53" s="50" t="s">
        <v>19</v>
      </c>
      <c r="T53" s="50" t="s">
        <v>19</v>
      </c>
    </row>
    <row r="54" spans="1:20" x14ac:dyDescent="0.2">
      <c r="A54" s="87" t="s">
        <v>6</v>
      </c>
      <c r="B54" s="30">
        <f>'[12]Table 4.31'!E14</f>
        <v>11221.573973851804</v>
      </c>
      <c r="C54" s="31">
        <f>'[12]Table 4.31'!F14</f>
        <v>32865.500813996121</v>
      </c>
      <c r="D54" s="32">
        <f>'[12]Table 4.31'!G14</f>
        <v>0.34143931161617896</v>
      </c>
      <c r="E54" s="30">
        <f>'[12]Table 4.31'!H14</f>
        <v>165733.30464476353</v>
      </c>
      <c r="F54" s="31">
        <f>'[12]Table 4.31'!I14</f>
        <v>93892.560417783301</v>
      </c>
      <c r="G54" s="32">
        <f>'[12]Table 4.31'!J14</f>
        <v>1.7651377692473018</v>
      </c>
      <c r="H54" s="30">
        <f>'[12]Table 4.31'!K14</f>
        <v>248392.43781582135</v>
      </c>
      <c r="I54" s="31">
        <f>'[12]Table 4.31'!L14</f>
        <v>5981937.2389608957</v>
      </c>
      <c r="J54" s="32">
        <f>'[12]Table 4.31'!M14</f>
        <v>4.1523745217188011E-2</v>
      </c>
      <c r="K54" s="33"/>
      <c r="L54" s="34">
        <f t="shared" si="55"/>
        <v>425347.31643443671</v>
      </c>
      <c r="M54" s="35">
        <f t="shared" si="56"/>
        <v>6108695.3001926756</v>
      </c>
      <c r="N54" s="32">
        <f t="shared" ref="N54:N59" si="57">L54/M54</f>
        <v>6.9629813819821848E-2</v>
      </c>
      <c r="O54" s="33"/>
      <c r="P54" s="31">
        <f>[13]fy2004!$K$53</f>
        <v>95563521</v>
      </c>
      <c r="Q54" s="36">
        <f t="shared" ref="Q54:Q63" si="58">M54/P54</f>
        <v>6.3922878063405339E-2</v>
      </c>
      <c r="R54" s="27" t="s">
        <v>6</v>
      </c>
      <c r="S54" s="50" t="s">
        <v>19</v>
      </c>
      <c r="T54" s="50" t="s">
        <v>19</v>
      </c>
    </row>
    <row r="55" spans="1:20" x14ac:dyDescent="0.2">
      <c r="A55" s="87" t="s">
        <v>3</v>
      </c>
      <c r="B55" s="30">
        <f>'[14]Table 4.31'!E42</f>
        <v>11966.836862333943</v>
      </c>
      <c r="C55" s="31">
        <f>'[14]Table 4.31'!F42</f>
        <v>31196.888461505776</v>
      </c>
      <c r="D55" s="32">
        <f>'[14]Table 4.31'!G42</f>
        <v>0.38359071857759053</v>
      </c>
      <c r="E55" s="30">
        <f>'[14]Table 4.31'!H42</f>
        <v>169792.79913747823</v>
      </c>
      <c r="F55" s="31">
        <f>'[14]Table 4.31'!I42</f>
        <v>95516.847666842936</v>
      </c>
      <c r="G55" s="32">
        <f>'[14]Table 4.31'!J42</f>
        <v>1.7776214697715462</v>
      </c>
      <c r="H55" s="30">
        <f>'[14]Table 4.31'!K42</f>
        <v>312418.81542391953</v>
      </c>
      <c r="I55" s="31">
        <f>'[14]Table 4.31'!L42</f>
        <v>5952795.6503263572</v>
      </c>
      <c r="J55" s="32">
        <f>'[14]Table 4.31'!M42</f>
        <v>5.2482704560300408E-2</v>
      </c>
      <c r="K55" s="33"/>
      <c r="L55" s="34">
        <f t="shared" si="55"/>
        <v>494178.45142373169</v>
      </c>
      <c r="M55" s="35">
        <f t="shared" si="56"/>
        <v>6079509.3864547061</v>
      </c>
      <c r="N55" s="32">
        <f t="shared" si="57"/>
        <v>8.1285909768438427E-2</v>
      </c>
      <c r="O55" s="33"/>
      <c r="P55" s="51">
        <f>[15]fy2008!$K$36</f>
        <v>99084155</v>
      </c>
      <c r="Q55" s="36">
        <f t="shared" si="58"/>
        <v>6.1357029148148924E-2</v>
      </c>
      <c r="R55" s="27" t="s">
        <v>3</v>
      </c>
      <c r="S55" s="40">
        <f t="shared" ref="S55:S60" si="59">(P55-P54)/P54</f>
        <v>3.6840773164898352E-2</v>
      </c>
      <c r="T55" s="39">
        <f t="shared" ref="T55:T60" si="60">(M55-M54)/M54</f>
        <v>-4.7777655135375491E-3</v>
      </c>
    </row>
    <row r="56" spans="1:20" x14ac:dyDescent="0.2">
      <c r="A56" s="87" t="s">
        <v>4</v>
      </c>
      <c r="B56" s="30">
        <f>'[16]Table 4.31'!E42</f>
        <v>10985.478500939704</v>
      </c>
      <c r="C56" s="31">
        <f>'[16]Table 4.31'!F42</f>
        <v>25731.104573408425</v>
      </c>
      <c r="D56" s="32">
        <f>'[16]Table 4.31'!G42</f>
        <v>0.42693380960771293</v>
      </c>
      <c r="E56" s="30">
        <f>'[16]Table 4.31'!H42</f>
        <v>107213.78998154277</v>
      </c>
      <c r="F56" s="31">
        <f>'[16]Table 4.31'!I42</f>
        <v>48453.392467538506</v>
      </c>
      <c r="G56" s="32">
        <f>'[16]Table 4.31'!J42</f>
        <v>2.2127199876328776</v>
      </c>
      <c r="H56" s="30">
        <f>'[16]Table 4.31'!K42</f>
        <v>227611.79879792462</v>
      </c>
      <c r="I56" s="31">
        <f>'[16]Table 4.31'!L42</f>
        <v>4173949.2331404826</v>
      </c>
      <c r="J56" s="32">
        <f>'[16]Table 4.31'!M42</f>
        <v>5.453152064972993E-2</v>
      </c>
      <c r="K56" s="33"/>
      <c r="L56" s="34">
        <f t="shared" si="55"/>
        <v>345811.06728040706</v>
      </c>
      <c r="M56" s="35">
        <f t="shared" si="56"/>
        <v>4248133.7301814295</v>
      </c>
      <c r="N56" s="32">
        <f t="shared" si="57"/>
        <v>8.1403055846275857E-2</v>
      </c>
      <c r="O56" s="33"/>
      <c r="P56" s="51">
        <f>[17]fy2009!$K$42</f>
        <v>82706211</v>
      </c>
      <c r="Q56" s="36">
        <f t="shared" si="58"/>
        <v>5.1364143984076717E-2</v>
      </c>
      <c r="R56" s="27" t="s">
        <v>4</v>
      </c>
      <c r="S56" s="39">
        <f t="shared" si="59"/>
        <v>-0.16529327015000531</v>
      </c>
      <c r="T56" s="39">
        <f t="shared" si="60"/>
        <v>-0.30123740911620694</v>
      </c>
    </row>
    <row r="57" spans="1:20" x14ac:dyDescent="0.2">
      <c r="A57" s="87" t="s">
        <v>5</v>
      </c>
      <c r="B57" s="30">
        <f>'[18]Table 4.31'!E42</f>
        <v>8193.7313802269291</v>
      </c>
      <c r="C57" s="31">
        <f>'[18]Table 4.31'!F42</f>
        <v>23753.914335174704</v>
      </c>
      <c r="D57" s="32">
        <f>'[18]Table 4.31'!G42</f>
        <v>0.34494236463982203</v>
      </c>
      <c r="E57" s="30">
        <f>'[18]Table 4.31'!H42</f>
        <v>101676.2257171216</v>
      </c>
      <c r="F57" s="31">
        <f>'[18]Table 4.31'!I42</f>
        <v>46518.3255221375</v>
      </c>
      <c r="G57" s="32">
        <f>'[18]Table 4.31'!J42</f>
        <v>2.1857241114307766</v>
      </c>
      <c r="H57" s="30">
        <f>'[18]Table 4.31'!K42</f>
        <v>221853.50090891853</v>
      </c>
      <c r="I57" s="31">
        <f>'[18]Table 4.31'!L42</f>
        <v>3984514.364947651</v>
      </c>
      <c r="J57" s="32">
        <f>'[18]Table 4.31'!M42</f>
        <v>5.5678931129122249E-2</v>
      </c>
      <c r="K57" s="33"/>
      <c r="L57" s="34">
        <f t="shared" si="55"/>
        <v>331723.45800626709</v>
      </c>
      <c r="M57" s="35">
        <f t="shared" si="56"/>
        <v>4054786.6048049633</v>
      </c>
      <c r="N57" s="32">
        <f t="shared" si="57"/>
        <v>8.1810336853034737E-2</v>
      </c>
      <c r="O57" s="33"/>
      <c r="P57" s="51">
        <f>[19]fy2010!$L$42</f>
        <v>82524808</v>
      </c>
      <c r="Q57" s="36">
        <f t="shared" si="58"/>
        <v>4.9134153754165209E-2</v>
      </c>
      <c r="R57" s="27" t="s">
        <v>5</v>
      </c>
      <c r="S57" s="39">
        <f t="shared" si="59"/>
        <v>-2.1933419244656244E-3</v>
      </c>
      <c r="T57" s="39">
        <f t="shared" si="60"/>
        <v>-4.5513427226361987E-2</v>
      </c>
    </row>
    <row r="58" spans="1:20" x14ac:dyDescent="0.2">
      <c r="A58" s="87" t="s">
        <v>2</v>
      </c>
      <c r="B58" s="30">
        <f>'[20]Table 4.31'!E42</f>
        <v>7728.2516629457914</v>
      </c>
      <c r="C58" s="31">
        <f>'[20]Table 4.31'!F42</f>
        <v>21290.353988375056</v>
      </c>
      <c r="D58" s="32">
        <f>'[20]Table 4.31'!G42</f>
        <v>0.3629931032225</v>
      </c>
      <c r="E58" s="30">
        <f>'[20]Table 4.31'!H42</f>
        <v>92539.040843627561</v>
      </c>
      <c r="F58" s="31">
        <f>'[20]Table 4.31'!I42</f>
        <v>41920.883050963894</v>
      </c>
      <c r="G58" s="32">
        <f>'[20]Table 4.31'!J42</f>
        <v>2.2074687866457001</v>
      </c>
      <c r="H58" s="30">
        <f>'[20]Table 4.31'!K42</f>
        <v>238181.97947162023</v>
      </c>
      <c r="I58" s="31">
        <f>'[20]Table 4.31'!L42</f>
        <v>4244914.8014433999</v>
      </c>
      <c r="J58" s="32">
        <f>'[20]Table 4.31'!M42</f>
        <v>5.6109955231758983E-2</v>
      </c>
      <c r="K58" s="33"/>
      <c r="L58" s="34">
        <f t="shared" si="55"/>
        <v>338449.2719781936</v>
      </c>
      <c r="M58" s="35">
        <f t="shared" si="56"/>
        <v>4308126.0384827387</v>
      </c>
      <c r="N58" s="32">
        <f t="shared" si="57"/>
        <v>7.8560670916998213E-2</v>
      </c>
      <c r="O58" s="33"/>
      <c r="P58" s="51">
        <f>[21]fy2011!$L$42</f>
        <v>84691971</v>
      </c>
      <c r="Q58" s="36">
        <f t="shared" si="58"/>
        <v>5.0868175431679805E-2</v>
      </c>
      <c r="R58" s="27" t="s">
        <v>2</v>
      </c>
      <c r="S58" s="40">
        <f t="shared" si="59"/>
        <v>2.6260745738420865E-2</v>
      </c>
      <c r="T58" s="40">
        <f t="shared" si="60"/>
        <v>6.2479103925608688E-2</v>
      </c>
    </row>
    <row r="59" spans="1:20" x14ac:dyDescent="0.2">
      <c r="A59" s="87" t="s">
        <v>1</v>
      </c>
      <c r="B59" s="30">
        <f>'[22]Table 4.31'!E42</f>
        <v>6438.6817646142554</v>
      </c>
      <c r="C59" s="31">
        <f>'[22]Table 4.31'!F42</f>
        <v>20385.614130473805</v>
      </c>
      <c r="D59" s="32">
        <f>'[22]Table 4.31'!G42</f>
        <v>0.31584438533000952</v>
      </c>
      <c r="E59" s="30">
        <f>'[22]Table 4.31'!H42</f>
        <v>85613.347316913423</v>
      </c>
      <c r="F59" s="31">
        <f>'[22]Table 4.31'!I42</f>
        <v>42529.10773768292</v>
      </c>
      <c r="G59" s="32">
        <f>'[22]Table 4.31'!J42</f>
        <v>2.0130529858508108</v>
      </c>
      <c r="H59" s="30">
        <f>'[22]Table 4.31'!K42</f>
        <v>227743.3926753652</v>
      </c>
      <c r="I59" s="31">
        <f>'[22]Table 4.31'!L42</f>
        <v>3951921.0696217706</v>
      </c>
      <c r="J59" s="32">
        <f>'[22]Table 4.31'!M42</f>
        <v>5.7628527661146331E-2</v>
      </c>
      <c r="K59" s="33"/>
      <c r="L59" s="34">
        <f t="shared" ref="L59:M63" si="61">B59+E59+H59</f>
        <v>319795.42175689287</v>
      </c>
      <c r="M59" s="35">
        <f t="shared" si="61"/>
        <v>4014835.7914899276</v>
      </c>
      <c r="N59" s="32">
        <f t="shared" si="57"/>
        <v>7.9653425037893036E-2</v>
      </c>
      <c r="O59" s="33"/>
      <c r="P59" s="51">
        <f>[23]fy2012!$L$41</f>
        <v>79801009</v>
      </c>
      <c r="Q59" s="36">
        <f t="shared" si="58"/>
        <v>5.0310589324627807E-2</v>
      </c>
      <c r="R59" s="27" t="s">
        <v>1</v>
      </c>
      <c r="S59" s="39">
        <f t="shared" si="59"/>
        <v>-5.775000796710706E-2</v>
      </c>
      <c r="T59" s="39">
        <f t="shared" si="60"/>
        <v>-6.8078381266696603E-2</v>
      </c>
    </row>
    <row r="60" spans="1:20" x14ac:dyDescent="0.2">
      <c r="A60" s="87" t="s">
        <v>23</v>
      </c>
      <c r="B60" s="30">
        <f>'[24]Table 4.31'!$E$42</f>
        <v>6744.528248349432</v>
      </c>
      <c r="C60" s="31">
        <f>'[24]Table 4.31'!$F$42</f>
        <v>24889.939656816387</v>
      </c>
      <c r="D60" s="32">
        <f>'[24]Table 4.31'!$G$42</f>
        <v>0.27097406989905531</v>
      </c>
      <c r="E60" s="30">
        <f>'[24]Table 4.31'!$H$42</f>
        <v>84562.241000740323</v>
      </c>
      <c r="F60" s="31">
        <f>'[24]Table 4.31'!$I$42</f>
        <v>40681.026770836084</v>
      </c>
      <c r="G60" s="32">
        <f>'[24]Table 4.31'!$J$42</f>
        <v>2.0786653561399868</v>
      </c>
      <c r="H60" s="30">
        <f>'[24]Table 4.31'!$K$42</f>
        <v>227734.01130211988</v>
      </c>
      <c r="I60" s="31">
        <f>'[24]Table 4.31'!$L$42</f>
        <v>4060549.0259727272</v>
      </c>
      <c r="J60" s="32">
        <f>'[24]Table 4.31'!$M$42</f>
        <v>5.6084536806587364E-2</v>
      </c>
      <c r="K60" s="33"/>
      <c r="L60" s="34">
        <f t="shared" si="61"/>
        <v>319040.78055120964</v>
      </c>
      <c r="M60" s="35">
        <f t="shared" si="61"/>
        <v>4126119.9924003799</v>
      </c>
      <c r="N60" s="32">
        <f t="shared" ref="N60:N65" si="62">L60/M60</f>
        <v>7.7322225514243212E-2</v>
      </c>
      <c r="O60" s="33"/>
      <c r="P60" s="56">
        <f>[25]fy2013!$L$42</f>
        <v>80962678</v>
      </c>
      <c r="Q60" s="36">
        <f>M60/P60</f>
        <v>5.0963235089634511E-2</v>
      </c>
      <c r="R60" s="27" t="s">
        <v>23</v>
      </c>
      <c r="S60" s="40">
        <f t="shared" si="59"/>
        <v>1.4557071577879423E-2</v>
      </c>
      <c r="T60" s="40">
        <f t="shared" si="60"/>
        <v>2.7718244702893344E-2</v>
      </c>
    </row>
    <row r="61" spans="1:20" x14ac:dyDescent="0.2">
      <c r="A61" s="87" t="s">
        <v>26</v>
      </c>
      <c r="B61" s="30">
        <v>6148</v>
      </c>
      <c r="C61" s="31">
        <v>22905</v>
      </c>
      <c r="D61" s="32">
        <v>0.26800000000000002</v>
      </c>
      <c r="E61" s="30">
        <v>80606</v>
      </c>
      <c r="F61" s="31">
        <v>37937</v>
      </c>
      <c r="G61" s="32">
        <v>2.125</v>
      </c>
      <c r="H61" s="30">
        <v>223911</v>
      </c>
      <c r="I61" s="31">
        <v>3972749</v>
      </c>
      <c r="J61" s="32">
        <v>5.6000000000000001E-2</v>
      </c>
      <c r="K61" s="33"/>
      <c r="L61" s="34">
        <f>B61+E61+H61</f>
        <v>310665</v>
      </c>
      <c r="M61" s="35">
        <f>C61+F61+I61</f>
        <v>4033591</v>
      </c>
      <c r="N61" s="32">
        <f t="shared" si="62"/>
        <v>7.7019459831202522E-2</v>
      </c>
      <c r="O61" s="33"/>
      <c r="P61" s="56">
        <f>[26]fy2014!$L$42</f>
        <v>80377552</v>
      </c>
      <c r="Q61" s="36">
        <f t="shared" si="58"/>
        <v>5.0183053596855001E-2</v>
      </c>
      <c r="R61" s="27" t="s">
        <v>24</v>
      </c>
      <c r="S61" s="39">
        <f t="shared" ref="S61:S66" si="63">(P61-P60)/P60</f>
        <v>-7.2271077792164925E-3</v>
      </c>
      <c r="T61" s="39">
        <f t="shared" ref="T61:T66" si="64">(M61-M60)/M60</f>
        <v>-2.2425182149526122E-2</v>
      </c>
    </row>
    <row r="62" spans="1:20" x14ac:dyDescent="0.2">
      <c r="A62" s="87" t="s">
        <v>27</v>
      </c>
      <c r="B62" s="30">
        <f>'[33]Table 4.31'!$E$42</f>
        <v>5430.2640134535468</v>
      </c>
      <c r="C62" s="31">
        <f>'[33]Table 4.31'!$F$42</f>
        <v>17259.965744660596</v>
      </c>
      <c r="D62" s="32">
        <f>-'[33]Table 4.31'!$G$42</f>
        <v>-0.31461615241811297</v>
      </c>
      <c r="E62" s="30">
        <f>'[33]Table 4.31'!$H$42</f>
        <v>66953.866067228446</v>
      </c>
      <c r="F62" s="31">
        <f>'[33]Table 4.31'!$I$42</f>
        <v>35710.854347179724</v>
      </c>
      <c r="G62" s="32">
        <f>'[33]Table 4.31'!$J$42</f>
        <v>1.8748883859317733</v>
      </c>
      <c r="H62" s="30">
        <f>'[33]Table 4.31'!$K$42</f>
        <v>221210.31085087656</v>
      </c>
      <c r="I62" s="31">
        <f>'[33]Table 4.31'!$L$42</f>
        <v>3832078.5396045977</v>
      </c>
      <c r="J62" s="32">
        <f>'[33]Table 4.31'!$M$42</f>
        <v>5.7725933475701027E-2</v>
      </c>
      <c r="K62" s="33"/>
      <c r="L62" s="34">
        <f>B62+E62+H62</f>
        <v>293594.44093155855</v>
      </c>
      <c r="M62" s="35">
        <f>C62+F62+I62</f>
        <v>3885049.3596964381</v>
      </c>
      <c r="N62" s="32">
        <f t="shared" si="62"/>
        <v>7.5570324531088792E-2</v>
      </c>
      <c r="O62" s="33"/>
      <c r="P62" s="56">
        <f>[27]fy2015!$L$42</f>
        <v>80090273</v>
      </c>
      <c r="Q62" s="36">
        <f>M62/P62</f>
        <v>4.8508379534384131E-2</v>
      </c>
      <c r="R62" s="27" t="s">
        <v>27</v>
      </c>
      <c r="S62" s="39">
        <f t="shared" si="63"/>
        <v>-3.5741197990205027E-3</v>
      </c>
      <c r="T62" s="39">
        <f t="shared" si="64"/>
        <v>-3.6826153247456653E-2</v>
      </c>
    </row>
    <row r="63" spans="1:20" x14ac:dyDescent="0.2">
      <c r="A63" s="87" t="s">
        <v>28</v>
      </c>
      <c r="B63" s="30">
        <f>'[28]Table 4.31'!$E$42</f>
        <v>5429.8542651074695</v>
      </c>
      <c r="C63" s="31">
        <f>'[28]Table 4.31'!$F$42</f>
        <v>17347.125211413819</v>
      </c>
      <c r="D63" s="32">
        <f>'[28]Table 4.31'!$G$42</f>
        <v>0.31301176413569726</v>
      </c>
      <c r="E63" s="30">
        <f>'[28]Table 4.31'!$H$42</f>
        <v>64714.645080366972</v>
      </c>
      <c r="F63" s="31">
        <f>'[28]Table 4.31'!$I$42</f>
        <v>36249.75769777369</v>
      </c>
      <c r="G63" s="32">
        <f>'[28]Table 4.31'!$J$42</f>
        <v>1.7852435213474951</v>
      </c>
      <c r="H63" s="30">
        <f>'[28]Table 4.31'!$K$42</f>
        <v>246087.06272028785</v>
      </c>
      <c r="I63" s="31">
        <f>'[28]Table 4.31'!$L$42</f>
        <v>4230448.0300544398</v>
      </c>
      <c r="J63" s="32">
        <f>'[28]Table 4.31'!$M$42</f>
        <v>5.8170449316953567E-2</v>
      </c>
      <c r="K63" s="33"/>
      <c r="L63" s="34">
        <f t="shared" si="61"/>
        <v>316231.56206576229</v>
      </c>
      <c r="M63" s="35">
        <f t="shared" si="61"/>
        <v>4284044.9129636269</v>
      </c>
      <c r="N63" s="32">
        <f t="shared" si="62"/>
        <v>7.381611735881613E-2</v>
      </c>
      <c r="O63" s="33"/>
      <c r="P63" s="56">
        <f>[29]fy2016!$L$42</f>
        <v>80929933</v>
      </c>
      <c r="Q63" s="36">
        <f t="shared" si="58"/>
        <v>5.2935233654074904E-2</v>
      </c>
      <c r="R63" s="27" t="s">
        <v>28</v>
      </c>
      <c r="S63" s="40">
        <f t="shared" si="63"/>
        <v>1.0483919813833073E-2</v>
      </c>
      <c r="T63" s="40">
        <f t="shared" si="64"/>
        <v>0.10270025328542151</v>
      </c>
    </row>
    <row r="64" spans="1:20" x14ac:dyDescent="0.2">
      <c r="A64" s="87" t="s">
        <v>30</v>
      </c>
      <c r="B64" s="30">
        <f>'[30]Table 4.31'!$E$42</f>
        <v>4501.0137142993426</v>
      </c>
      <c r="C64" s="31">
        <f>'[30]Table 4.31'!$F$42</f>
        <v>15220.503635120251</v>
      </c>
      <c r="D64" s="32">
        <f>'[30]Table 4.31'!$G$42</f>
        <v>0.29572041912683938</v>
      </c>
      <c r="E64" s="30">
        <f>'[30]Table 4.31'!$H$42</f>
        <v>58142.989691337694</v>
      </c>
      <c r="F64" s="31">
        <f>'[30]Table 4.31'!$I$42</f>
        <v>33872.2955485153</v>
      </c>
      <c r="G64" s="32">
        <f>'[30]Table 4.31'!$J$42</f>
        <v>1.7165352613335423</v>
      </c>
      <c r="H64" s="30">
        <f>'[30]Table 4.31'!$K$42</f>
        <v>230669.32409182997</v>
      </c>
      <c r="I64" s="31">
        <f>'[30]Table 4.31'!$L$42</f>
        <v>3774746.7939988151</v>
      </c>
      <c r="J64" s="32">
        <f>'[30]Table 4.31'!$M$42</f>
        <v>6.1108555535050381E-2</v>
      </c>
      <c r="K64" s="33"/>
      <c r="L64" s="34">
        <f t="shared" ref="L64" si="65">B64+E64+H64</f>
        <v>293313.32749746699</v>
      </c>
      <c r="M64" s="35">
        <f t="shared" ref="M64" si="66">C64+F64+I64</f>
        <v>3823839.5931824506</v>
      </c>
      <c r="N64" s="32">
        <f t="shared" si="62"/>
        <v>7.67064936563807E-2</v>
      </c>
      <c r="O64" s="33"/>
      <c r="P64" s="56">
        <f>[31]fy2017!$L$42</f>
        <v>78369843</v>
      </c>
      <c r="Q64" s="36">
        <f t="shared" ref="Q64:Q69" si="67">M64/P64</f>
        <v>4.8792232404784204E-2</v>
      </c>
      <c r="R64" s="27" t="s">
        <v>30</v>
      </c>
      <c r="S64" s="41">
        <f t="shared" si="63"/>
        <v>-3.1633413066090146E-2</v>
      </c>
      <c r="T64" s="41">
        <f t="shared" si="64"/>
        <v>-0.10742308475538702</v>
      </c>
    </row>
    <row r="65" spans="1:20" x14ac:dyDescent="0.2">
      <c r="A65" s="87" t="s">
        <v>36</v>
      </c>
      <c r="B65" s="30">
        <f>'[32]Table 4.31'!$E$42</f>
        <v>4477.250000626067</v>
      </c>
      <c r="C65" s="31">
        <f>'[32]Table 4.31'!$F$42</f>
        <v>15430.92750356185</v>
      </c>
      <c r="D65" s="32">
        <f>'[32]Table 4.31'!$G$42</f>
        <v>0.29014782161296554</v>
      </c>
      <c r="E65" s="30">
        <f>'[32]Table 4.31'!$H$42</f>
        <v>52146.423923329079</v>
      </c>
      <c r="F65" s="31">
        <f>'[32]Table 4.31'!$I$42</f>
        <v>31251.879007686272</v>
      </c>
      <c r="G65" s="32">
        <f>'[32]Table 4.31'!$J$42</f>
        <v>1.6685852364430274</v>
      </c>
      <c r="H65" s="30">
        <f>'[32]Table 4.31'!$K$42</f>
        <v>222110.63544208638</v>
      </c>
      <c r="I65" s="31">
        <f>'[32]Table 4.31'!$L$42</f>
        <v>3570106.2924181083</v>
      </c>
      <c r="J65" s="32">
        <f>'[32]Table 4.31'!$M$42</f>
        <v>6.2214011922778402E-2</v>
      </c>
      <c r="K65" s="33"/>
      <c r="L65" s="34">
        <f t="shared" ref="L65" si="68">B65+E65+H65</f>
        <v>278734.3093660415</v>
      </c>
      <c r="M65" s="35">
        <f t="shared" ref="M65" si="69">C65+F65+I65</f>
        <v>3616789.0989293563</v>
      </c>
      <c r="N65" s="32">
        <f t="shared" si="62"/>
        <v>7.70667854115554E-2</v>
      </c>
      <c r="O65" s="33"/>
      <c r="P65" s="57">
        <v>77305661</v>
      </c>
      <c r="Q65" s="36">
        <f t="shared" si="67"/>
        <v>4.6785565922906426E-2</v>
      </c>
      <c r="R65" s="27" t="s">
        <v>36</v>
      </c>
      <c r="S65" s="41">
        <f t="shared" si="63"/>
        <v>-1.3578973228260774E-2</v>
      </c>
      <c r="T65" s="41">
        <f t="shared" si="64"/>
        <v>-5.4147275064112529E-2</v>
      </c>
    </row>
    <row r="66" spans="1:20" x14ac:dyDescent="0.2">
      <c r="A66" s="87" t="s">
        <v>37</v>
      </c>
      <c r="B66" s="30">
        <v>4486.9133563237847</v>
      </c>
      <c r="C66" s="31">
        <v>15506.921520296648</v>
      </c>
      <c r="D66" s="32">
        <v>0.28934907231270685</v>
      </c>
      <c r="E66" s="30">
        <v>50336.867940987409</v>
      </c>
      <c r="F66" s="31">
        <v>30056.756557892448</v>
      </c>
      <c r="G66" s="32">
        <v>1.674727206311611</v>
      </c>
      <c r="H66" s="30">
        <v>231137.2716458721</v>
      </c>
      <c r="I66" s="31">
        <v>3562767.3455682993</v>
      </c>
      <c r="J66" s="32">
        <v>6.4875769093758556E-2</v>
      </c>
      <c r="K66" s="33"/>
      <c r="L66" s="34">
        <f t="shared" ref="L66:L67" si="70">B66+E66+H66</f>
        <v>285961.05294318328</v>
      </c>
      <c r="M66" s="35">
        <f t="shared" ref="M66:M67" si="71">C66+F66+I66</f>
        <v>3608331.0236464883</v>
      </c>
      <c r="N66" s="32">
        <f t="shared" ref="N66" si="72">L66/M66</f>
        <v>7.9250227063202824E-2</v>
      </c>
      <c r="O66" s="33"/>
      <c r="P66" s="57">
        <v>75690047</v>
      </c>
      <c r="Q66" s="36">
        <f t="shared" si="67"/>
        <v>4.7672463773823372E-2</v>
      </c>
      <c r="R66" s="27" t="s">
        <v>37</v>
      </c>
      <c r="S66" s="41">
        <f t="shared" si="63"/>
        <v>-2.0899038687477233E-2</v>
      </c>
      <c r="T66" s="41">
        <f t="shared" si="64"/>
        <v>-2.338559161597717E-3</v>
      </c>
    </row>
    <row r="67" spans="1:20" x14ac:dyDescent="0.2">
      <c r="A67" s="88" t="s">
        <v>38</v>
      </c>
      <c r="B67" s="78">
        <v>4370.0863552545688</v>
      </c>
      <c r="C67" s="79">
        <v>13480.865522538174</v>
      </c>
      <c r="D67" s="74">
        <v>0.32416956818895487</v>
      </c>
      <c r="E67" s="78">
        <v>58784.289743178757</v>
      </c>
      <c r="F67" s="79">
        <v>28932.750190030714</v>
      </c>
      <c r="G67" s="74">
        <v>2.031756032768496</v>
      </c>
      <c r="H67" s="78">
        <v>197711.31222690205</v>
      </c>
      <c r="I67" s="79">
        <v>2862836.1939562303</v>
      </c>
      <c r="J67" s="74">
        <v>6.9061342959227959E-2</v>
      </c>
      <c r="K67" s="75"/>
      <c r="L67" s="34">
        <f t="shared" si="70"/>
        <v>260865.68832533539</v>
      </c>
      <c r="M67" s="35">
        <f t="shared" si="71"/>
        <v>2905249.8096687994</v>
      </c>
      <c r="N67" s="32">
        <f>L67/M67</f>
        <v>8.9791138599222303E-2</v>
      </c>
      <c r="O67" s="75"/>
      <c r="P67" s="76">
        <v>64180125</v>
      </c>
      <c r="Q67" s="36">
        <f t="shared" ref="Q67:Q68" si="73">M67/P67</f>
        <v>4.5267126071642884E-2</v>
      </c>
      <c r="R67" s="77" t="s">
        <v>38</v>
      </c>
      <c r="S67" s="41">
        <f t="shared" ref="S67" si="74">(P67-P65)/P65</f>
        <v>-0.16978751400883824</v>
      </c>
      <c r="T67" s="41">
        <f t="shared" ref="T67" si="75">(M67-M65)/M65</f>
        <v>-0.19673231415986825</v>
      </c>
    </row>
    <row r="68" spans="1:20" x14ac:dyDescent="0.2">
      <c r="A68" s="88" t="s">
        <v>40</v>
      </c>
      <c r="B68" s="78">
        <v>4338</v>
      </c>
      <c r="C68" s="79">
        <v>13196</v>
      </c>
      <c r="D68" s="74">
        <v>0.32900000000000001</v>
      </c>
      <c r="E68" s="78">
        <v>55659</v>
      </c>
      <c r="F68" s="79">
        <v>27670</v>
      </c>
      <c r="G68" s="74">
        <v>2.012</v>
      </c>
      <c r="H68" s="78">
        <v>223920</v>
      </c>
      <c r="I68" s="79">
        <v>3126400</v>
      </c>
      <c r="J68" s="74">
        <v>7.1999999999999995E-2</v>
      </c>
      <c r="K68" s="75"/>
      <c r="L68" s="34">
        <f>B68+E68+H68</f>
        <v>283917</v>
      </c>
      <c r="M68" s="35">
        <f>C68+F68+I68</f>
        <v>3167266</v>
      </c>
      <c r="N68" s="32">
        <f>L68/M68</f>
        <v>8.9641034254779983E-2</v>
      </c>
      <c r="O68" s="75"/>
      <c r="P68" s="95">
        <v>66234393</v>
      </c>
      <c r="Q68" s="36">
        <f t="shared" si="73"/>
        <v>4.7819053765616903E-2</v>
      </c>
      <c r="R68" s="77" t="s">
        <v>40</v>
      </c>
      <c r="S68" s="41">
        <f t="shared" ref="S68" si="76">(P68-P65)/P65</f>
        <v>-0.14321419488283013</v>
      </c>
      <c r="T68" s="41">
        <f t="shared" ref="T68" si="77">(M68-M65)/M65</f>
        <v>-0.12428789366303508</v>
      </c>
    </row>
    <row r="69" spans="1:20" x14ac:dyDescent="0.2">
      <c r="A69" s="88" t="s">
        <v>41</v>
      </c>
      <c r="B69" s="78">
        <v>4007</v>
      </c>
      <c r="C69" s="79">
        <v>11597</v>
      </c>
      <c r="D69" s="74">
        <v>0.34499999999999997</v>
      </c>
      <c r="E69" s="78">
        <v>53304</v>
      </c>
      <c r="F69" s="79">
        <v>26359</v>
      </c>
      <c r="G69" s="74">
        <v>2.0219999999999998</v>
      </c>
      <c r="H69" s="78">
        <v>223968</v>
      </c>
      <c r="I69" s="79">
        <v>3118955</v>
      </c>
      <c r="J69" s="74">
        <v>7.1999999999999995E-2</v>
      </c>
      <c r="K69" s="75"/>
      <c r="L69" s="34">
        <f>B69+E69+H69</f>
        <v>281279</v>
      </c>
      <c r="M69" s="35">
        <f>C69+F69+I69</f>
        <v>3156911</v>
      </c>
      <c r="N69" s="32">
        <f>L69/M69</f>
        <v>8.9099439293663971E-2</v>
      </c>
      <c r="O69" s="75"/>
      <c r="P69" s="105">
        <v>67121219</v>
      </c>
      <c r="Q69" s="106">
        <f t="shared" si="67"/>
        <v>4.7032980732963151E-2</v>
      </c>
      <c r="R69" s="77" t="s">
        <v>41</v>
      </c>
      <c r="S69" s="41">
        <f t="shared" ref="S69" si="78">(P69-P66)/P66</f>
        <v>-0.11320944218729313</v>
      </c>
      <c r="T69" s="41">
        <f t="shared" ref="T69" si="79">(M69-M66)/M66</f>
        <v>-0.12510493651724189</v>
      </c>
    </row>
    <row r="70" spans="1:20" x14ac:dyDescent="0.2">
      <c r="B70" s="5"/>
      <c r="C70" s="5"/>
      <c r="D70" s="5"/>
      <c r="E70" s="5"/>
      <c r="F70" s="5"/>
      <c r="G70" s="5"/>
      <c r="H70" s="5"/>
      <c r="I70" s="5"/>
      <c r="J70" s="5"/>
      <c r="K70" s="1"/>
      <c r="L70" s="5"/>
      <c r="M70" s="5"/>
      <c r="N70" s="5"/>
      <c r="R70" s="92" t="s">
        <v>33</v>
      </c>
      <c r="S70" s="10">
        <f>AVERAGE(S55:S69)</f>
        <v>-4.2681194225704863E-2</v>
      </c>
      <c r="T70" s="10">
        <f>AVERAGE(T55:T69)</f>
        <v>-5.973298532847364E-2</v>
      </c>
    </row>
    <row r="71" spans="1:20" x14ac:dyDescent="0.2">
      <c r="B71" s="8"/>
      <c r="C71" s="9"/>
      <c r="D71" s="8"/>
      <c r="E71" s="8"/>
      <c r="F71" s="9"/>
      <c r="G71" s="8"/>
      <c r="H71" s="8"/>
      <c r="I71" s="9"/>
      <c r="J71" s="8"/>
      <c r="K71" s="8"/>
      <c r="L71" s="8"/>
      <c r="M71" s="9"/>
      <c r="N71" s="5"/>
    </row>
    <row r="72" spans="1:20" x14ac:dyDescent="0.2">
      <c r="M72" s="9"/>
    </row>
    <row r="73" spans="1:20" x14ac:dyDescent="0.2">
      <c r="M73" s="9"/>
    </row>
    <row r="74" spans="1:20" x14ac:dyDescent="0.2">
      <c r="M74" s="9"/>
    </row>
    <row r="75" spans="1:20" x14ac:dyDescent="0.2">
      <c r="M75" s="9"/>
    </row>
    <row r="76" spans="1:20" x14ac:dyDescent="0.2">
      <c r="M76" s="9"/>
    </row>
    <row r="77" spans="1:20" x14ac:dyDescent="0.2">
      <c r="M77" s="9"/>
    </row>
    <row r="78" spans="1:20" x14ac:dyDescent="0.2">
      <c r="M78" s="9"/>
    </row>
    <row r="79" spans="1:20" x14ac:dyDescent="0.2">
      <c r="M79" s="9"/>
    </row>
    <row r="80" spans="1:20" x14ac:dyDescent="0.2">
      <c r="M80" s="9"/>
    </row>
    <row r="81" spans="13:13" x14ac:dyDescent="0.2">
      <c r="M81" s="9"/>
    </row>
    <row r="82" spans="13:13" x14ac:dyDescent="0.2">
      <c r="M82" s="9"/>
    </row>
  </sheetData>
  <mergeCells count="15">
    <mergeCell ref="L51:N51"/>
    <mergeCell ref="B50:J50"/>
    <mergeCell ref="B51:D51"/>
    <mergeCell ref="E51:G51"/>
    <mergeCell ref="H51:J51"/>
    <mergeCell ref="B1:J1"/>
    <mergeCell ref="L2:N2"/>
    <mergeCell ref="B29:D29"/>
    <mergeCell ref="E29:G29"/>
    <mergeCell ref="H29:J29"/>
    <mergeCell ref="L29:N29"/>
    <mergeCell ref="B28:J28"/>
    <mergeCell ref="B2:D2"/>
    <mergeCell ref="E2:G2"/>
    <mergeCell ref="H2:J2"/>
  </mergeCells>
  <phoneticPr fontId="2" type="noConversion"/>
  <pageMargins left="0.25" right="0.25" top="0.75" bottom="0.75" header="0.3" footer="0.3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UAA 1998-2022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 Hunt</dc:creator>
  <cp:lastModifiedBy>Jordan, Michelle E - Memphis, TN</cp:lastModifiedBy>
  <cp:lastPrinted>2016-01-11T20:12:22Z</cp:lastPrinted>
  <dcterms:created xsi:type="dcterms:W3CDTF">2013-02-04T15:39:58Z</dcterms:created>
  <dcterms:modified xsi:type="dcterms:W3CDTF">2022-12-30T15:26:19Z</dcterms:modified>
</cp:coreProperties>
</file>