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FILES\Post\UAA\Update\ACR22\PARS22\Tables\"/>
    </mc:Choice>
  </mc:AlternateContent>
  <xr:revisionPtr revIDLastSave="0" documentId="8_{7FEAA68D-23AE-4734-AE03-F8289AE51D75}" xr6:coauthVersionLast="47" xr6:coauthVersionMax="47" xr10:uidLastSave="{00000000-0000-0000-0000-000000000000}"/>
  <bookViews>
    <workbookView xWindow="-108" yWindow="-108" windowWidth="30936" windowHeight="16896" tabRatio="744" firstSheet="38" activeTab="45" xr2:uid="{00000000-000D-0000-FFFF-FFFF00000000}"/>
  </bookViews>
  <sheets>
    <sheet name="Cover" sheetId="40" r:id="rId1"/>
    <sheet name="Table 3.1-UAA Summary" sheetId="47" r:id="rId2"/>
    <sheet name="Table 3.2-Total Fwd Summary" sheetId="73" r:id="rId3"/>
    <sheet name="Table 3.3-PARS Fwd Summary" sheetId="71" r:id="rId4"/>
    <sheet name="Table 3.4-NonPARS Fwd Summary" sheetId="72" r:id="rId5"/>
    <sheet name="Table 3.5-Total RTS Summary" sheetId="70" r:id="rId6"/>
    <sheet name="Table 3.6-PARS RTS Summary" sheetId="67" r:id="rId7"/>
    <sheet name="Table 3.7-NonPARS RTS Summary" sheetId="69" r:id="rId8"/>
    <sheet name="Table 3.8-Total Wst Summary" sheetId="66" r:id="rId9"/>
    <sheet name="Table 3.9-PARS Wst Summary" sheetId="64" r:id="rId10"/>
    <sheet name="Table 3.10-NonPARS Wst Summary" sheetId="65" r:id="rId11"/>
    <sheet name="Table 3.11-Form3547 Costs" sheetId="78" r:id="rId12"/>
    <sheet name="Table 3.12-Form3579 Costs" sheetId="80" r:id="rId13"/>
    <sheet name="Table 3.13-COA Costs" sheetId="20" r:id="rId14"/>
    <sheet name="Table 3.14-Route UAA" sheetId="21" r:id="rId15"/>
    <sheet name="Table 3.15-Route UAA NoPARS" sheetId="63" r:id="rId16"/>
    <sheet name="Table 3.16-Route UAA PARS" sheetId="62" r:id="rId17"/>
    <sheet name="Table 3.17-No Record Mail" sheetId="37" r:id="rId18"/>
    <sheet name="Table 3.18-Nixie UAA" sheetId="22" r:id="rId19"/>
    <sheet name="Table 3.19-CFS UAA" sheetId="23" r:id="rId20"/>
    <sheet name="Table 3.20-CFS Non-CIOSS" sheetId="32" r:id="rId21"/>
    <sheet name="Table 3.21-CFS CIOSS Rejs" sheetId="54" r:id="rId22"/>
    <sheet name="Table 3.22-CFS Key Rates" sheetId="36" r:id="rId23"/>
    <sheet name="Table 3.23-CIOSS Summary" sheetId="49" r:id="rId24"/>
    <sheet name="Table 3.24-CIOSS Detail" sheetId="48" r:id="rId25"/>
    <sheet name="Table 3.25-REC Summary" sheetId="59" r:id="rId26"/>
    <sheet name="Table 3.26-REC Detail NonACS" sheetId="51" r:id="rId27"/>
    <sheet name="Table 3.27-REC Detail ACS" sheetId="75" r:id="rId28"/>
    <sheet name="Table 3.28-REC Volume" sheetId="50" r:id="rId29"/>
    <sheet name="Table 3.29-UAA MP Units" sheetId="30" r:id="rId30"/>
    <sheet name="Table 3.30-UAA MP Cost" sheetId="74" r:id="rId31"/>
    <sheet name="Table 3.31-Rating Post Due" sheetId="29" r:id="rId32"/>
    <sheet name="Table 3.32-Accounting Post Due" sheetId="26" r:id="rId33"/>
    <sheet name="Table 3.33-Delivery Post Due" sheetId="27" r:id="rId34"/>
    <sheet name="Table 3.34-Window Post Due" sheetId="28" r:id="rId35"/>
    <sheet name="Table 3.35-PD Vols" sheetId="68" r:id="rId36"/>
    <sheet name="Table 3.36-Process Form 3546" sheetId="33" r:id="rId37"/>
    <sheet name="Table 3.37-Notice Inputs" sheetId="77" r:id="rId38"/>
    <sheet name="Table 3.38-Form 3547 Dist" sheetId="76" r:id="rId39"/>
    <sheet name="Table 3.39-Form 3579 Dist" sheetId="55" r:id="rId40"/>
    <sheet name="Table 3.40-Form Processing" sheetId="25" r:id="rId41"/>
    <sheet name="Table 3.41-Man Notice" sheetId="81" r:id="rId42"/>
    <sheet name="Table 3.42-Vol Flows" sheetId="57" r:id="rId43"/>
    <sheet name="Table 3.43-Elec Notice" sheetId="82" r:id="rId44"/>
    <sheet name="Table 3.44-One Code ACS" sheetId="84" r:id="rId45"/>
    <sheet name="checksum" sheetId="42" r:id="rId46"/>
  </sheet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0" l="1"/>
  <c r="N24" i="20"/>
  <c r="B19" i="36"/>
  <c r="H17" i="36"/>
  <c r="B7" i="36"/>
  <c r="D30" i="74"/>
  <c r="D52" i="23"/>
  <c r="D56" i="23"/>
  <c r="B56" i="23"/>
  <c r="D39" i="23"/>
  <c r="B39" i="23"/>
  <c r="F8" i="84"/>
  <c r="L8" i="84"/>
  <c r="R8" i="84"/>
  <c r="B12" i="84"/>
  <c r="R12" i="84"/>
  <c r="R13" i="84"/>
  <c r="F20" i="84"/>
  <c r="L20" i="84"/>
  <c r="R20" i="84"/>
  <c r="B24" i="84"/>
  <c r="R24" i="84"/>
  <c r="R25" i="84"/>
  <c r="J73" i="47"/>
  <c r="F8" i="82"/>
  <c r="L8" i="82"/>
  <c r="R8" i="82"/>
  <c r="B12" i="82"/>
  <c r="R12" i="82"/>
  <c r="R13" i="82"/>
  <c r="F20" i="82"/>
  <c r="L20" i="82"/>
  <c r="R20" i="82"/>
  <c r="B24" i="82"/>
  <c r="R24" i="82"/>
  <c r="R25" i="82"/>
  <c r="B43" i="23"/>
  <c r="K102" i="23"/>
  <c r="M102" i="23" s="1"/>
  <c r="B52" i="23"/>
  <c r="H106" i="23"/>
  <c r="F103" i="32"/>
  <c r="F93" i="54"/>
  <c r="E45" i="75"/>
  <c r="C23" i="54"/>
  <c r="D43" i="23" s="1"/>
  <c r="F43" i="23" s="1"/>
  <c r="C28" i="54"/>
  <c r="C33" i="54"/>
  <c r="C90" i="54" s="1"/>
  <c r="F90" i="54" s="1"/>
  <c r="C93" i="54"/>
  <c r="C103" i="54"/>
  <c r="F103" i="54" s="1"/>
  <c r="C106" i="54"/>
  <c r="F106" i="54" s="1"/>
  <c r="C108" i="54"/>
  <c r="F108" i="54" s="1"/>
  <c r="K39" i="47"/>
  <c r="K40" i="47"/>
  <c r="C7" i="29"/>
  <c r="F52" i="23"/>
  <c r="F56" i="23"/>
  <c r="H54" i="54"/>
  <c r="I54" i="54" s="1"/>
  <c r="D7" i="54"/>
  <c r="D12" i="54"/>
  <c r="D17" i="54"/>
  <c r="D43" i="54"/>
  <c r="D48" i="54"/>
  <c r="D54" i="54"/>
  <c r="D59" i="54"/>
  <c r="D69" i="54"/>
  <c r="D74" i="54"/>
  <c r="D80" i="54"/>
  <c r="D85" i="54"/>
  <c r="N26" i="20"/>
  <c r="H24" i="20"/>
  <c r="B5" i="42"/>
  <c r="B6" i="42" s="1"/>
  <c r="B7" i="42" s="1"/>
  <c r="B8" i="42" s="1"/>
  <c r="B9" i="42" s="1"/>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K12" i="36"/>
  <c r="B50" i="54"/>
  <c r="B56" i="54"/>
  <c r="B61" i="54"/>
  <c r="B8" i="36" l="1"/>
  <c r="D25" i="23"/>
  <c r="B20" i="36"/>
  <c r="B21" i="36" s="1"/>
  <c r="B22" i="36" s="1"/>
  <c r="B24" i="36" s="1"/>
  <c r="H24" i="36" s="1"/>
  <c r="D69" i="32"/>
  <c r="K20" i="57"/>
  <c r="K11" i="36"/>
  <c r="D43" i="32"/>
  <c r="C28" i="32"/>
  <c r="B45" i="54"/>
  <c r="D74" i="32"/>
  <c r="B9" i="36"/>
  <c r="B10" i="36" s="1"/>
  <c r="B12" i="36" s="1"/>
  <c r="D87" i="23"/>
  <c r="C33" i="32"/>
  <c r="C108" i="32"/>
  <c r="F108" i="32" s="1"/>
  <c r="G10" i="57"/>
  <c r="D59" i="32"/>
  <c r="F39" i="23"/>
  <c r="L20" i="57"/>
  <c r="I20" i="57"/>
  <c r="D21" i="23" l="1"/>
  <c r="C106" i="32"/>
  <c r="F106" i="32" s="1"/>
  <c r="K24" i="36"/>
  <c r="H23" i="36"/>
  <c r="K23" i="36" s="1"/>
  <c r="B12" i="23"/>
  <c r="C23" i="32"/>
  <c r="B8" i="23"/>
  <c r="D85" i="32"/>
  <c r="D12" i="32"/>
  <c r="B21" i="23"/>
  <c r="F21" i="23" s="1"/>
  <c r="M20" i="57"/>
  <c r="B25" i="23"/>
  <c r="D80" i="32"/>
  <c r="D83" i="23"/>
  <c r="D102" i="23"/>
  <c r="H102" i="23" s="1"/>
  <c r="C30" i="32"/>
  <c r="H54" i="32"/>
  <c r="D17" i="32" l="1"/>
  <c r="I54" i="32"/>
  <c r="D48" i="32"/>
  <c r="C93" i="32"/>
  <c r="F93" i="32" s="1"/>
  <c r="D54" i="32"/>
  <c r="B87" i="23"/>
  <c r="F25" i="23"/>
  <c r="D12" i="23"/>
  <c r="B106" i="23"/>
  <c r="B83" i="23"/>
  <c r="F83" i="23" s="1"/>
  <c r="B70" i="23"/>
  <c r="B74" i="23"/>
  <c r="F87" i="23" l="1"/>
  <c r="F12" i="23"/>
  <c r="D74" i="23"/>
  <c r="D7" i="32"/>
  <c r="D8" i="23"/>
  <c r="C90" i="32"/>
  <c r="F90" i="32" l="1"/>
  <c r="F8" i="23"/>
  <c r="D70" i="23"/>
  <c r="F74" i="23"/>
  <c r="F70" i="23" l="1"/>
  <c r="E18" i="30" l="1"/>
  <c r="B30" i="74"/>
  <c r="F30" i="74" s="1"/>
  <c r="G28" i="50" l="1"/>
  <c r="H28" i="50"/>
  <c r="E28" i="51" s="1"/>
  <c r="H59" i="32" l="1"/>
  <c r="H59" i="54"/>
  <c r="J56" i="23"/>
  <c r="K56" i="23" s="1"/>
  <c r="H85" i="54"/>
  <c r="H7" i="32"/>
  <c r="H33" i="54"/>
  <c r="J12" i="23"/>
  <c r="H12" i="32"/>
  <c r="H23" i="32"/>
  <c r="H12" i="54"/>
  <c r="J8" i="23"/>
  <c r="H80" i="54"/>
  <c r="H43" i="32"/>
  <c r="J52" i="23"/>
  <c r="K52" i="23" s="1"/>
  <c r="H74" i="54"/>
  <c r="H48" i="32"/>
  <c r="H28" i="32"/>
  <c r="H69" i="54"/>
  <c r="H17" i="32"/>
  <c r="J39" i="23"/>
  <c r="J21" i="23"/>
  <c r="H48" i="54"/>
  <c r="J43" i="23"/>
  <c r="H43" i="54"/>
  <c r="H69" i="32"/>
  <c r="H74" i="32"/>
  <c r="H28" i="54"/>
  <c r="H85" i="32"/>
  <c r="H23" i="54"/>
  <c r="H17" i="54"/>
  <c r="H80" i="32"/>
  <c r="H33" i="32"/>
  <c r="H7" i="54"/>
  <c r="H29" i="32"/>
  <c r="J25" i="23"/>
  <c r="J9" i="33"/>
  <c r="F13" i="78"/>
  <c r="F6" i="78"/>
  <c r="D9" i="29"/>
  <c r="J74" i="20"/>
  <c r="J75" i="20"/>
  <c r="L26" i="20"/>
  <c r="H18" i="29" l="1"/>
  <c r="H8" i="29"/>
  <c r="H7" i="29"/>
  <c r="J87" i="23"/>
  <c r="K25" i="23"/>
  <c r="I28" i="54"/>
  <c r="I43" i="54"/>
  <c r="I74" i="54"/>
  <c r="I85" i="54"/>
  <c r="I80" i="32"/>
  <c r="K43" i="23"/>
  <c r="K39" i="23"/>
  <c r="I12" i="54"/>
  <c r="I23" i="32"/>
  <c r="I7" i="54"/>
  <c r="I17" i="54"/>
  <c r="I74" i="32"/>
  <c r="I43" i="32"/>
  <c r="I12" i="32"/>
  <c r="I48" i="54"/>
  <c r="I80" i="54"/>
  <c r="J74" i="23"/>
  <c r="K12" i="23"/>
  <c r="I33" i="32"/>
  <c r="J83" i="23"/>
  <c r="K21" i="23"/>
  <c r="I17" i="32"/>
  <c r="I23" i="54"/>
  <c r="I69" i="54"/>
  <c r="I28" i="32"/>
  <c r="H30" i="32"/>
  <c r="J70" i="23"/>
  <c r="K8" i="23"/>
  <c r="I33" i="54"/>
  <c r="I7" i="32"/>
  <c r="I59" i="54"/>
  <c r="I59" i="32"/>
  <c r="I85" i="32"/>
  <c r="I69" i="32"/>
  <c r="I48" i="32"/>
  <c r="H15" i="20"/>
  <c r="K83" i="23" l="1"/>
  <c r="K74" i="23"/>
  <c r="G44" i="75"/>
  <c r="K44" i="75"/>
  <c r="L44" i="75" s="1"/>
  <c r="L15" i="20"/>
  <c r="K19" i="75"/>
  <c r="G19" i="75"/>
  <c r="K70" i="23"/>
  <c r="K20" i="75"/>
  <c r="L20" i="75" s="1"/>
  <c r="G20" i="75"/>
  <c r="G21" i="75"/>
  <c r="K21" i="75"/>
  <c r="K87" i="23"/>
  <c r="H9" i="29"/>
  <c r="I7" i="29"/>
  <c r="L24" i="20"/>
  <c r="L27" i="20"/>
  <c r="N27" i="20" s="1"/>
  <c r="L25" i="20" l="1"/>
  <c r="N25" i="20" s="1"/>
  <c r="H25" i="20"/>
  <c r="N15" i="20"/>
  <c r="E4" i="59"/>
  <c r="G4" i="75"/>
  <c r="K4" i="75"/>
  <c r="G5" i="75"/>
  <c r="K5" i="75"/>
  <c r="E5" i="59"/>
  <c r="L5" i="59" s="1"/>
  <c r="H27" i="20"/>
  <c r="G34" i="75"/>
  <c r="K34" i="75"/>
  <c r="L34" i="75" s="1"/>
  <c r="L19" i="75"/>
  <c r="G27" i="75"/>
  <c r="K27" i="75"/>
  <c r="G28" i="75"/>
  <c r="K28" i="75"/>
  <c r="L28" i="75" s="1"/>
  <c r="I36" i="22"/>
  <c r="J36" i="22" s="1"/>
  <c r="E36" i="22"/>
  <c r="L21" i="75"/>
  <c r="K13" i="75"/>
  <c r="G13" i="75"/>
  <c r="K6" i="75"/>
  <c r="G6" i="75"/>
  <c r="E6" i="59"/>
  <c r="L6" i="59" s="1"/>
  <c r="F45" i="75"/>
  <c r="K43" i="75"/>
  <c r="G43" i="75"/>
  <c r="K12" i="75"/>
  <c r="G12" i="75"/>
  <c r="L17" i="20"/>
  <c r="N17" i="20" s="1"/>
  <c r="L35" i="20"/>
  <c r="N35" i="20" s="1"/>
  <c r="L33" i="20"/>
  <c r="N33" i="20" s="1"/>
  <c r="L19" i="20"/>
  <c r="N19" i="20" s="1"/>
  <c r="L6" i="75" l="1"/>
  <c r="L4" i="75"/>
  <c r="L43" i="75"/>
  <c r="K45" i="75"/>
  <c r="L45" i="75" s="1"/>
  <c r="L28" i="20"/>
  <c r="H28" i="20"/>
  <c r="L32" i="20"/>
  <c r="H32" i="20"/>
  <c r="L16" i="20"/>
  <c r="H16" i="20"/>
  <c r="E16" i="59"/>
  <c r="L16" i="59" s="1"/>
  <c r="G45" i="75"/>
  <c r="H17" i="20"/>
  <c r="L4" i="59"/>
  <c r="L12" i="75"/>
  <c r="L27" i="75"/>
  <c r="H35" i="20"/>
  <c r="L5" i="75"/>
  <c r="H19" i="20"/>
  <c r="L13" i="75"/>
  <c r="H33" i="20"/>
  <c r="N32" i="20" l="1"/>
  <c r="L36" i="20"/>
  <c r="N36" i="20" s="1"/>
  <c r="H36" i="20"/>
  <c r="L20" i="20"/>
  <c r="N20" i="20" s="1"/>
  <c r="H20" i="20"/>
  <c r="N28" i="20"/>
  <c r="N16" i="20"/>
  <c r="L21" i="20" l="1"/>
  <c r="N21" i="20" s="1"/>
  <c r="H21" i="20"/>
  <c r="L29" i="20"/>
  <c r="H29" i="20"/>
  <c r="F30" i="20"/>
  <c r="H30" i="20" s="1"/>
  <c r="G28" i="48"/>
  <c r="K28" i="48"/>
  <c r="L28" i="48" s="1"/>
  <c r="I34" i="22"/>
  <c r="E34" i="22"/>
  <c r="L37" i="20"/>
  <c r="N37" i="20" s="1"/>
  <c r="H37" i="20"/>
  <c r="I35" i="22"/>
  <c r="E35" i="22"/>
  <c r="J35" i="22" l="1"/>
  <c r="D40" i="20"/>
  <c r="K28" i="51"/>
  <c r="L28" i="51" s="1"/>
  <c r="G28" i="51"/>
  <c r="N29" i="20"/>
  <c r="L30" i="20"/>
  <c r="N30" i="20" s="1"/>
  <c r="J34" i="22"/>
  <c r="L6" i="20"/>
  <c r="H6" i="20"/>
  <c r="L10" i="20"/>
  <c r="N10" i="20" s="1"/>
  <c r="L8" i="20"/>
  <c r="N8" i="20" s="1"/>
  <c r="N6" i="20" l="1"/>
  <c r="D67" i="20"/>
  <c r="L7" i="20"/>
  <c r="N7" i="20" s="1"/>
  <c r="H7" i="20"/>
  <c r="H8" i="20"/>
  <c r="H10" i="20"/>
  <c r="D79" i="20"/>
  <c r="L48" i="20"/>
  <c r="N48" i="20" s="1"/>
  <c r="L58" i="20"/>
  <c r="N58" i="20" s="1"/>
  <c r="L9" i="20"/>
  <c r="N9" i="20" s="1"/>
  <c r="L18" i="20" l="1"/>
  <c r="F22" i="20"/>
  <c r="H22" i="20" s="1"/>
  <c r="H18" i="20"/>
  <c r="F47" i="47"/>
  <c r="L47" i="47" s="1"/>
  <c r="E44" i="51"/>
  <c r="D75" i="20" s="1"/>
  <c r="L11" i="20"/>
  <c r="N11" i="20" s="1"/>
  <c r="H11" i="20"/>
  <c r="E43" i="51"/>
  <c r="H48" i="20"/>
  <c r="L57" i="20"/>
  <c r="H57" i="20"/>
  <c r="L34" i="20"/>
  <c r="F38" i="20"/>
  <c r="H38" i="20" s="1"/>
  <c r="H34" i="20"/>
  <c r="H9" i="20"/>
  <c r="H58" i="20"/>
  <c r="L47" i="20"/>
  <c r="H47" i="20"/>
  <c r="L62" i="20"/>
  <c r="N62" i="20" s="1"/>
  <c r="L52" i="20"/>
  <c r="N52" i="20" s="1"/>
  <c r="L60" i="20"/>
  <c r="N60" i="20" s="1"/>
  <c r="L50" i="20"/>
  <c r="N50" i="20" s="1"/>
  <c r="H45" i="50" l="1"/>
  <c r="H60" i="20"/>
  <c r="N57" i="20"/>
  <c r="L59" i="20"/>
  <c r="N59" i="20" s="1"/>
  <c r="H59" i="20"/>
  <c r="H50" i="20"/>
  <c r="H52" i="20"/>
  <c r="H62" i="20"/>
  <c r="L49" i="20"/>
  <c r="N49" i="20" s="1"/>
  <c r="H49" i="20"/>
  <c r="N47" i="20"/>
  <c r="L38" i="20"/>
  <c r="N38" i="20" s="1"/>
  <c r="N34" i="20"/>
  <c r="D74" i="20"/>
  <c r="E45" i="51"/>
  <c r="L22" i="20"/>
  <c r="N22" i="20" s="1"/>
  <c r="N18" i="20"/>
  <c r="L12" i="20" l="1"/>
  <c r="H12" i="20"/>
  <c r="F13" i="20"/>
  <c r="L53" i="20"/>
  <c r="N53" i="20" s="1"/>
  <c r="H53" i="20"/>
  <c r="E55" i="51"/>
  <c r="C16" i="59"/>
  <c r="D77" i="20"/>
  <c r="L63" i="20"/>
  <c r="N63" i="20" s="1"/>
  <c r="H63" i="20"/>
  <c r="L51" i="20" l="1"/>
  <c r="F55" i="20"/>
  <c r="H51" i="20"/>
  <c r="L54" i="20"/>
  <c r="N54" i="20" s="1"/>
  <c r="H54" i="20"/>
  <c r="L61" i="20"/>
  <c r="F65" i="20"/>
  <c r="H65" i="20" s="1"/>
  <c r="H61" i="20"/>
  <c r="F40" i="20"/>
  <c r="H13" i="20"/>
  <c r="L64" i="20"/>
  <c r="N64" i="20" s="1"/>
  <c r="H64" i="20"/>
  <c r="K43" i="51"/>
  <c r="F45" i="51"/>
  <c r="G43" i="51"/>
  <c r="F74" i="20"/>
  <c r="F75" i="20"/>
  <c r="K44" i="51"/>
  <c r="L44" i="51" s="1"/>
  <c r="G44" i="51"/>
  <c r="N12" i="20"/>
  <c r="L13" i="20"/>
  <c r="L75" i="20" l="1"/>
  <c r="N75" i="20" s="1"/>
  <c r="H75" i="20"/>
  <c r="H40" i="20"/>
  <c r="N61" i="20"/>
  <c r="L65" i="20"/>
  <c r="N65" i="20" s="1"/>
  <c r="F77" i="20"/>
  <c r="L74" i="20"/>
  <c r="H74" i="20"/>
  <c r="L40" i="20"/>
  <c r="N13" i="20"/>
  <c r="G45" i="51"/>
  <c r="D16" i="59"/>
  <c r="K45" i="51"/>
  <c r="L45" i="51" s="1"/>
  <c r="L43" i="51"/>
  <c r="F67" i="20"/>
  <c r="H55" i="20"/>
  <c r="N51" i="20"/>
  <c r="L55" i="20"/>
  <c r="F16" i="59" l="1"/>
  <c r="G16" i="59" s="1"/>
  <c r="K16" i="59"/>
  <c r="M16" i="59" s="1"/>
  <c r="N16" i="59" s="1"/>
  <c r="L67" i="20"/>
  <c r="N67" i="20" s="1"/>
  <c r="N55" i="20"/>
  <c r="H67" i="20"/>
  <c r="F79" i="20"/>
  <c r="L79" i="20"/>
  <c r="N40" i="20"/>
  <c r="L77" i="20"/>
  <c r="N77" i="20" s="1"/>
  <c r="N74" i="20"/>
  <c r="E47" i="47" l="1"/>
  <c r="N79" i="20"/>
  <c r="H70" i="47" s="1"/>
  <c r="H79" i="20"/>
  <c r="C16" i="42"/>
  <c r="K47" i="47" l="1"/>
  <c r="I70" i="47" s="1"/>
  <c r="J70" i="47" s="1"/>
  <c r="G47" i="47"/>
  <c r="M47" i="47" l="1"/>
  <c r="H65" i="47"/>
  <c r="F31" i="62" l="1"/>
  <c r="K31" i="62" s="1"/>
  <c r="F29" i="62"/>
  <c r="K29" i="62" s="1"/>
  <c r="F30" i="62"/>
  <c r="K30" i="62" s="1"/>
  <c r="P30" i="21" l="1"/>
  <c r="P29" i="21"/>
  <c r="P31" i="21"/>
  <c r="L21" i="57"/>
  <c r="L22" i="57" s="1"/>
  <c r="H22" i="57"/>
  <c r="D32" i="21" l="1"/>
  <c r="D32" i="62"/>
  <c r="F28" i="62"/>
  <c r="K28" i="62" s="1"/>
  <c r="N30" i="21"/>
  <c r="J30" i="63"/>
  <c r="F30" i="63"/>
  <c r="K30" i="63" s="1"/>
  <c r="J29" i="63"/>
  <c r="F29" i="63"/>
  <c r="K29" i="63" s="1"/>
  <c r="N31" i="21"/>
  <c r="N29" i="21"/>
  <c r="B32" i="62" l="1"/>
  <c r="F32" i="62"/>
  <c r="K32" i="62"/>
  <c r="D102" i="62"/>
  <c r="K102" i="62" s="1"/>
  <c r="D32" i="63"/>
  <c r="D102" i="63" s="1"/>
  <c r="B5" i="72" s="1"/>
  <c r="J31" i="63"/>
  <c r="F31" i="63"/>
  <c r="K31" i="63" s="1"/>
  <c r="P28" i="21"/>
  <c r="D102" i="21"/>
  <c r="P102" i="21" s="1"/>
  <c r="P32" i="21"/>
  <c r="J29" i="62"/>
  <c r="D82" i="63" l="1"/>
  <c r="B32" i="63"/>
  <c r="J30" i="62"/>
  <c r="B8" i="72"/>
  <c r="B32" i="21"/>
  <c r="J31" i="62"/>
  <c r="I29" i="22"/>
  <c r="E29" i="22"/>
  <c r="D11" i="63"/>
  <c r="D99" i="63" s="1"/>
  <c r="N28" i="21" l="1"/>
  <c r="N32" i="21"/>
  <c r="B20" i="73"/>
  <c r="D111" i="63"/>
  <c r="B5" i="69"/>
  <c r="B82" i="63"/>
  <c r="J29" i="22"/>
  <c r="J81" i="63" l="1"/>
  <c r="F81" i="63"/>
  <c r="K81" i="63" s="1"/>
  <c r="J31" i="21"/>
  <c r="F31" i="21"/>
  <c r="K31" i="21" s="1"/>
  <c r="O31" i="21"/>
  <c r="F29" i="21"/>
  <c r="K29" i="21" s="1"/>
  <c r="J29" i="21"/>
  <c r="O29" i="21"/>
  <c r="J80" i="63"/>
  <c r="F80" i="63"/>
  <c r="K80" i="63" s="1"/>
  <c r="J30" i="21"/>
  <c r="F30" i="21"/>
  <c r="K30" i="21" s="1"/>
  <c r="O30" i="21"/>
  <c r="B8" i="69"/>
  <c r="J79" i="63"/>
  <c r="F79" i="63"/>
  <c r="K79" i="63" s="1"/>
  <c r="O28" i="21" l="1"/>
  <c r="C32" i="21"/>
  <c r="J28" i="21"/>
  <c r="J32" i="21" s="1"/>
  <c r="F28" i="21"/>
  <c r="K28" i="21" s="1"/>
  <c r="K32" i="21" s="1"/>
  <c r="J28" i="62"/>
  <c r="J32" i="62" s="1"/>
  <c r="C32" i="62"/>
  <c r="J8" i="63"/>
  <c r="F8" i="63"/>
  <c r="K8" i="63" s="1"/>
  <c r="B11" i="63"/>
  <c r="B24" i="70"/>
  <c r="E17" i="22" l="1"/>
  <c r="I17" i="22"/>
  <c r="J17" i="22" s="1"/>
  <c r="C32" i="63"/>
  <c r="F32" i="63" s="1"/>
  <c r="J28" i="63"/>
  <c r="J32" i="63" s="1"/>
  <c r="F28" i="63"/>
  <c r="K28" i="63" s="1"/>
  <c r="K32" i="63" s="1"/>
  <c r="J10" i="63"/>
  <c r="F10" i="63"/>
  <c r="K10" i="63" s="1"/>
  <c r="J9" i="63"/>
  <c r="F9" i="63"/>
  <c r="K9" i="63" s="1"/>
  <c r="F32" i="21"/>
  <c r="O32" i="21"/>
  <c r="F59" i="63" l="1"/>
  <c r="K59" i="63" s="1"/>
  <c r="F24" i="63"/>
  <c r="K24" i="63" s="1"/>
  <c r="J78" i="63"/>
  <c r="J82" i="63" s="1"/>
  <c r="C82" i="63"/>
  <c r="F78" i="63"/>
  <c r="K78" i="63" s="1"/>
  <c r="K82" i="63" s="1"/>
  <c r="C11" i="63"/>
  <c r="F11" i="63" s="1"/>
  <c r="J7" i="63"/>
  <c r="F7" i="63"/>
  <c r="K7" i="63" s="1"/>
  <c r="K11" i="63" s="1"/>
  <c r="P81" i="21" l="1"/>
  <c r="B9" i="64"/>
  <c r="J11" i="63"/>
  <c r="P79" i="21"/>
  <c r="P80" i="21"/>
  <c r="F82" i="63"/>
  <c r="F17" i="63" l="1"/>
  <c r="K17" i="63" s="1"/>
  <c r="D38" i="63"/>
  <c r="D36" i="63"/>
  <c r="P59" i="21"/>
  <c r="B6" i="65"/>
  <c r="N79" i="21"/>
  <c r="P57" i="21"/>
  <c r="D37" i="63"/>
  <c r="P58" i="21"/>
  <c r="N57" i="21"/>
  <c r="N81" i="21"/>
  <c r="N80" i="21"/>
  <c r="D82" i="21" l="1"/>
  <c r="P78" i="21"/>
  <c r="D82" i="62"/>
  <c r="B38" i="63"/>
  <c r="P16" i="21"/>
  <c r="B36" i="63"/>
  <c r="P17" i="21"/>
  <c r="P23" i="21"/>
  <c r="D60" i="62"/>
  <c r="D107" i="62" s="1"/>
  <c r="B21" i="67" s="1"/>
  <c r="B5" i="64"/>
  <c r="P22" i="21"/>
  <c r="N59" i="21"/>
  <c r="B37" i="63"/>
  <c r="B22" i="67"/>
  <c r="D60" i="21"/>
  <c r="P56" i="21"/>
  <c r="P8" i="21"/>
  <c r="P15" i="21"/>
  <c r="P24" i="21"/>
  <c r="N58" i="21" l="1"/>
  <c r="B87" i="54"/>
  <c r="D73" i="62"/>
  <c r="D11" i="21"/>
  <c r="P7" i="21"/>
  <c r="B37" i="67"/>
  <c r="D38" i="22"/>
  <c r="I21" i="57"/>
  <c r="I22" i="57" s="1"/>
  <c r="G22" i="57"/>
  <c r="P49" i="21"/>
  <c r="D111" i="21"/>
  <c r="P82" i="21"/>
  <c r="D72" i="62"/>
  <c r="D37" i="62"/>
  <c r="D60" i="63"/>
  <c r="D107" i="63" s="1"/>
  <c r="B11" i="69" s="1"/>
  <c r="B28" i="67"/>
  <c r="D111" i="62"/>
  <c r="B5" i="65" s="1"/>
  <c r="D38" i="62"/>
  <c r="D71" i="62"/>
  <c r="P10" i="21"/>
  <c r="D38" i="21"/>
  <c r="B30" i="54"/>
  <c r="P50" i="21"/>
  <c r="D37" i="21"/>
  <c r="B82" i="62"/>
  <c r="D52" i="21"/>
  <c r="P48" i="21"/>
  <c r="D25" i="63"/>
  <c r="D101" i="63" s="1"/>
  <c r="B15" i="65" s="1"/>
  <c r="D67" i="62"/>
  <c r="D108" i="62" s="1"/>
  <c r="B21" i="64" s="1"/>
  <c r="D11" i="62"/>
  <c r="D99" i="62" s="1"/>
  <c r="P9" i="21"/>
  <c r="P51" i="21"/>
  <c r="B22" i="64"/>
  <c r="D52" i="63"/>
  <c r="D106" i="63" s="1"/>
  <c r="D107" i="21"/>
  <c r="P107" i="21" s="1"/>
  <c r="P60" i="21"/>
  <c r="B10" i="64"/>
  <c r="D52" i="62"/>
  <c r="D106" i="62" s="1"/>
  <c r="D70" i="62"/>
  <c r="D36" i="62"/>
  <c r="D36" i="21"/>
  <c r="B38" i="22"/>
  <c r="K21" i="57"/>
  <c r="B22" i="57"/>
  <c r="P36" i="21" l="1"/>
  <c r="P37" i="21"/>
  <c r="B60" i="21"/>
  <c r="B60" i="62"/>
  <c r="B82" i="21"/>
  <c r="N78" i="21"/>
  <c r="D25" i="21"/>
  <c r="P21" i="21"/>
  <c r="B7" i="65"/>
  <c r="C18" i="30"/>
  <c r="C7" i="30" s="1"/>
  <c r="J80" i="62"/>
  <c r="F80" i="62"/>
  <c r="K80" i="62" s="1"/>
  <c r="B14" i="71"/>
  <c r="B11" i="72"/>
  <c r="D18" i="63"/>
  <c r="D100" i="63" s="1"/>
  <c r="D35" i="63"/>
  <c r="B14" i="54"/>
  <c r="B8" i="70"/>
  <c r="J79" i="62"/>
  <c r="F79" i="62"/>
  <c r="K79" i="62" s="1"/>
  <c r="N24" i="21"/>
  <c r="N22" i="21"/>
  <c r="C30" i="57"/>
  <c r="C22" i="57"/>
  <c r="B31" i="67"/>
  <c r="B18" i="65"/>
  <c r="B16" i="66" s="1"/>
  <c r="D106" i="21"/>
  <c r="P52" i="21"/>
  <c r="N17" i="21"/>
  <c r="N23" i="21"/>
  <c r="D18" i="21"/>
  <c r="P14" i="21"/>
  <c r="B67" i="62"/>
  <c r="D74" i="62"/>
  <c r="J24" i="63"/>
  <c r="B36" i="62"/>
  <c r="B76" i="54"/>
  <c r="B13" i="71"/>
  <c r="D109" i="62"/>
  <c r="B6" i="66"/>
  <c r="P38" i="21"/>
  <c r="N8" i="21"/>
  <c r="D35" i="62"/>
  <c r="D25" i="62"/>
  <c r="D101" i="62" s="1"/>
  <c r="B39" i="64" s="1"/>
  <c r="D35" i="21"/>
  <c r="B82" i="54"/>
  <c r="B57" i="23"/>
  <c r="M21" i="57"/>
  <c r="M22" i="57" s="1"/>
  <c r="K22" i="57"/>
  <c r="B14" i="69"/>
  <c r="B71" i="54"/>
  <c r="B53" i="23"/>
  <c r="H13" i="50"/>
  <c r="G13" i="50"/>
  <c r="B6" i="64" s="1"/>
  <c r="N15" i="21"/>
  <c r="N16" i="21"/>
  <c r="B40" i="64"/>
  <c r="B25" i="63"/>
  <c r="J57" i="62"/>
  <c r="F57" i="62"/>
  <c r="K57" i="62" s="1"/>
  <c r="D99" i="21"/>
  <c r="P11" i="21"/>
  <c r="D18" i="62"/>
  <c r="D100" i="62" s="1"/>
  <c r="B52" i="67" s="1"/>
  <c r="B28" i="64"/>
  <c r="J59" i="63"/>
  <c r="B25" i="54"/>
  <c r="J57" i="63"/>
  <c r="F57" i="63"/>
  <c r="K57" i="63" s="1"/>
  <c r="P111" i="21"/>
  <c r="B60" i="63"/>
  <c r="J81" i="62"/>
  <c r="F81" i="62"/>
  <c r="K81" i="62" s="1"/>
  <c r="P65" i="21" l="1"/>
  <c r="D72" i="21"/>
  <c r="J59" i="62"/>
  <c r="F59" i="62"/>
  <c r="K59" i="62" s="1"/>
  <c r="E13" i="51"/>
  <c r="B7" i="64"/>
  <c r="D70" i="21"/>
  <c r="D67" i="21"/>
  <c r="J23" i="63"/>
  <c r="F23" i="63"/>
  <c r="K23" i="63" s="1"/>
  <c r="B7" i="37"/>
  <c r="D103" i="62"/>
  <c r="J57" i="21"/>
  <c r="Q57" i="21" s="1"/>
  <c r="F57" i="21"/>
  <c r="K57" i="21" s="1"/>
  <c r="O57" i="21"/>
  <c r="N82" i="21"/>
  <c r="B9" i="54"/>
  <c r="B44" i="23"/>
  <c r="B44" i="67"/>
  <c r="C12" i="49"/>
  <c r="D71" i="63"/>
  <c r="P99" i="21"/>
  <c r="P35" i="21"/>
  <c r="D39" i="21"/>
  <c r="B73" i="62"/>
  <c r="B13" i="37"/>
  <c r="B14" i="37" s="1"/>
  <c r="B38" i="67"/>
  <c r="B9" i="70" s="1"/>
  <c r="B71" i="62"/>
  <c r="D72" i="63"/>
  <c r="B38" i="62"/>
  <c r="J22" i="63"/>
  <c r="F22" i="63"/>
  <c r="K22" i="63" s="1"/>
  <c r="B53" i="67"/>
  <c r="F52" i="47"/>
  <c r="P64" i="21"/>
  <c r="D71" i="21"/>
  <c r="J79" i="21"/>
  <c r="Q79" i="21" s="1"/>
  <c r="F79" i="21"/>
  <c r="K79" i="21" s="1"/>
  <c r="O79" i="21"/>
  <c r="D100" i="21"/>
  <c r="P100" i="21" s="1"/>
  <c r="P18" i="21"/>
  <c r="B14" i="72"/>
  <c r="B18" i="30"/>
  <c r="B7" i="30" s="1"/>
  <c r="K15" i="57"/>
  <c r="J80" i="21"/>
  <c r="Q80" i="21" s="1"/>
  <c r="F80" i="21"/>
  <c r="K80" i="21" s="1"/>
  <c r="O80" i="21"/>
  <c r="P63" i="21"/>
  <c r="D67" i="63"/>
  <c r="D108" i="63" s="1"/>
  <c r="D70" i="63"/>
  <c r="B25" i="70"/>
  <c r="B41" i="64"/>
  <c r="P66" i="21"/>
  <c r="D73" i="21"/>
  <c r="D39" i="63"/>
  <c r="B14" i="66"/>
  <c r="B8" i="66"/>
  <c r="J81" i="21"/>
  <c r="Q81" i="21" s="1"/>
  <c r="F81" i="21"/>
  <c r="K81" i="21" s="1"/>
  <c r="O81" i="21"/>
  <c r="B18" i="62"/>
  <c r="H107" i="23"/>
  <c r="B59" i="23"/>
  <c r="D22" i="57"/>
  <c r="B46" i="64"/>
  <c r="B10" i="66" s="1"/>
  <c r="D73" i="63"/>
  <c r="E22" i="57"/>
  <c r="B54" i="67"/>
  <c r="P106" i="21"/>
  <c r="N60" i="21"/>
  <c r="D101" i="21"/>
  <c r="P101" i="21" s="1"/>
  <c r="P25" i="21"/>
  <c r="B35" i="54"/>
  <c r="B19" i="54"/>
  <c r="B59" i="67"/>
  <c r="B11" i="70" s="1"/>
  <c r="B60" i="23"/>
  <c r="B61" i="23" s="1"/>
  <c r="H108" i="23" s="1"/>
  <c r="D39" i="62"/>
  <c r="B36" i="21"/>
  <c r="N36" i="21" s="1"/>
  <c r="B20" i="71"/>
  <c r="B7" i="73" s="1"/>
  <c r="E37" i="22"/>
  <c r="I37" i="22"/>
  <c r="J65" i="62"/>
  <c r="F65" i="62"/>
  <c r="K65" i="62" s="1"/>
  <c r="B17" i="69"/>
  <c r="D103" i="63"/>
  <c r="N56" i="21"/>
  <c r="G13" i="48"/>
  <c r="K13" i="48"/>
  <c r="B72" i="62"/>
  <c r="B31" i="64"/>
  <c r="C13" i="49"/>
  <c r="D6" i="64"/>
  <c r="B50" i="64"/>
  <c r="G16" i="50"/>
  <c r="B32" i="64" s="1"/>
  <c r="D32" i="64" s="1"/>
  <c r="H16" i="50"/>
  <c r="B72" i="63"/>
  <c r="J58" i="62"/>
  <c r="F58" i="62"/>
  <c r="K58" i="62" s="1"/>
  <c r="J58" i="63"/>
  <c r="F58" i="63"/>
  <c r="K58" i="63" s="1"/>
  <c r="B37" i="21"/>
  <c r="D28" i="74"/>
  <c r="D23" i="74"/>
  <c r="B25" i="62"/>
  <c r="N51" i="21" l="1"/>
  <c r="F51" i="47"/>
  <c r="P71" i="21"/>
  <c r="B58" i="67"/>
  <c r="J17" i="63"/>
  <c r="J38" i="63" s="1"/>
  <c r="C38" i="63"/>
  <c r="F38" i="63" s="1"/>
  <c r="K38" i="63" s="1"/>
  <c r="L13" i="48"/>
  <c r="F5" i="64"/>
  <c r="J66" i="62"/>
  <c r="F66" i="62"/>
  <c r="K66" i="62" s="1"/>
  <c r="B45" i="64"/>
  <c r="P73" i="21"/>
  <c r="J64" i="62"/>
  <c r="F64" i="62"/>
  <c r="K64" i="62" s="1"/>
  <c r="D27" i="74"/>
  <c r="D22" i="74"/>
  <c r="H37" i="50"/>
  <c r="G37" i="50"/>
  <c r="P72" i="21"/>
  <c r="F9" i="64"/>
  <c r="J37" i="22"/>
  <c r="G36" i="50"/>
  <c r="H36" i="50"/>
  <c r="L104" i="23"/>
  <c r="B37" i="62"/>
  <c r="N37" i="21" s="1"/>
  <c r="N9" i="21"/>
  <c r="B18" i="63"/>
  <c r="B35" i="63"/>
  <c r="B39" i="63" s="1"/>
  <c r="B15" i="37"/>
  <c r="F14" i="37"/>
  <c r="J14" i="37" s="1"/>
  <c r="K14" i="37" s="1"/>
  <c r="B8" i="37"/>
  <c r="J16" i="63"/>
  <c r="J37" i="63" s="1"/>
  <c r="C37" i="63"/>
  <c r="F37" i="63" s="1"/>
  <c r="K37" i="63" s="1"/>
  <c r="F16" i="63"/>
  <c r="K16" i="63" s="1"/>
  <c r="C17" i="30"/>
  <c r="C6" i="30" s="1"/>
  <c r="J59" i="21"/>
  <c r="Q59" i="21" s="1"/>
  <c r="O59" i="21"/>
  <c r="F59" i="21"/>
  <c r="K59" i="21" s="1"/>
  <c r="B52" i="63"/>
  <c r="D103" i="21"/>
  <c r="B49" i="67"/>
  <c r="B10" i="70" s="1"/>
  <c r="B36" i="64"/>
  <c r="B9" i="66" s="1"/>
  <c r="B27" i="67"/>
  <c r="C28" i="57"/>
  <c r="J21" i="84"/>
  <c r="J21" i="82"/>
  <c r="B11" i="21"/>
  <c r="B35" i="21"/>
  <c r="N7" i="21"/>
  <c r="B25" i="21"/>
  <c r="N25" i="21" s="1"/>
  <c r="N21" i="21"/>
  <c r="B35" i="62"/>
  <c r="B11" i="62"/>
  <c r="D74" i="63"/>
  <c r="B21" i="73"/>
  <c r="B24" i="72"/>
  <c r="B17" i="72"/>
  <c r="N48" i="21"/>
  <c r="B52" i="21"/>
  <c r="C29" i="54"/>
  <c r="B40" i="23"/>
  <c r="J23" i="62"/>
  <c r="F23" i="62"/>
  <c r="K23" i="62" s="1"/>
  <c r="P39" i="21"/>
  <c r="H30" i="50"/>
  <c r="G30" i="50"/>
  <c r="B55" i="67" s="1"/>
  <c r="B38" i="21"/>
  <c r="N38" i="21" s="1"/>
  <c r="N10" i="21"/>
  <c r="D108" i="21"/>
  <c r="P67" i="21"/>
  <c r="C87" i="54"/>
  <c r="D87" i="54" s="1"/>
  <c r="D86" i="54"/>
  <c r="H86" i="54"/>
  <c r="D57" i="23"/>
  <c r="C82" i="54"/>
  <c r="D82" i="54" s="1"/>
  <c r="D81" i="54"/>
  <c r="H81" i="54"/>
  <c r="B20" i="69"/>
  <c r="J58" i="21"/>
  <c r="Q58" i="21" s="1"/>
  <c r="F58" i="21"/>
  <c r="K58" i="21" s="1"/>
  <c r="O58" i="21"/>
  <c r="N50" i="21"/>
  <c r="B18" i="21"/>
  <c r="N18" i="21" s="1"/>
  <c r="N14" i="21"/>
  <c r="B10" i="65"/>
  <c r="D109" i="63"/>
  <c r="D90" i="63" s="1"/>
  <c r="H31" i="50"/>
  <c r="G31" i="50"/>
  <c r="B42" i="64" s="1"/>
  <c r="N49" i="21"/>
  <c r="B47" i="23"/>
  <c r="J100" i="23"/>
  <c r="P70" i="21"/>
  <c r="D74" i="21"/>
  <c r="G15" i="50"/>
  <c r="B45" i="67" s="1"/>
  <c r="H15" i="50"/>
  <c r="B34" i="64"/>
  <c r="E16" i="51"/>
  <c r="E16" i="75"/>
  <c r="I20" i="22"/>
  <c r="E20" i="22"/>
  <c r="J15" i="63"/>
  <c r="J36" i="63" s="1"/>
  <c r="C36" i="63"/>
  <c r="F36" i="63" s="1"/>
  <c r="K36" i="63" s="1"/>
  <c r="F15" i="63"/>
  <c r="K15" i="63" s="1"/>
  <c r="B52" i="62"/>
  <c r="B70" i="62"/>
  <c r="B74" i="62" s="1"/>
  <c r="B23" i="74" l="1"/>
  <c r="B39" i="62"/>
  <c r="D91" i="63"/>
  <c r="D45" i="67"/>
  <c r="D42" i="64"/>
  <c r="B12" i="65"/>
  <c r="J78" i="62"/>
  <c r="J82" i="62" s="1"/>
  <c r="C82" i="62"/>
  <c r="F78" i="62"/>
  <c r="K78" i="62" s="1"/>
  <c r="K82" i="62" s="1"/>
  <c r="I86" i="54"/>
  <c r="H87" i="54"/>
  <c r="P108" i="21"/>
  <c r="D109" i="21"/>
  <c r="P109" i="21" s="1"/>
  <c r="J16" i="62"/>
  <c r="F16" i="62"/>
  <c r="K16" i="62" s="1"/>
  <c r="J8" i="62"/>
  <c r="C36" i="62"/>
  <c r="F36" i="62" s="1"/>
  <c r="K36" i="62" s="1"/>
  <c r="F8" i="62"/>
  <c r="K8" i="62" s="1"/>
  <c r="J24" i="62"/>
  <c r="F24" i="62"/>
  <c r="K24" i="62" s="1"/>
  <c r="J17" i="62"/>
  <c r="F17" i="62"/>
  <c r="K17" i="62" s="1"/>
  <c r="I33" i="22"/>
  <c r="E33" i="22"/>
  <c r="C38" i="22"/>
  <c r="E38" i="22" s="1"/>
  <c r="C60" i="62"/>
  <c r="J56" i="62"/>
  <c r="J60" i="62" s="1"/>
  <c r="F56" i="62"/>
  <c r="K56" i="62" s="1"/>
  <c r="K60" i="62" s="1"/>
  <c r="E31" i="75"/>
  <c r="B44" i="64"/>
  <c r="B54" i="64" s="1"/>
  <c r="E31" i="51"/>
  <c r="K37" i="48"/>
  <c r="L37" i="48" s="1"/>
  <c r="G37" i="48"/>
  <c r="B46" i="23"/>
  <c r="J99" i="23"/>
  <c r="N52" i="21"/>
  <c r="F23" i="74"/>
  <c r="B28" i="74"/>
  <c r="B27" i="64"/>
  <c r="E36" i="75"/>
  <c r="E36" i="51"/>
  <c r="P74" i="21"/>
  <c r="J51" i="63"/>
  <c r="F51" i="63"/>
  <c r="K51" i="63" s="1"/>
  <c r="D53" i="23"/>
  <c r="D70" i="54"/>
  <c r="H70" i="54"/>
  <c r="C107" i="54"/>
  <c r="F107" i="54" s="1"/>
  <c r="C71" i="54"/>
  <c r="D71" i="54" s="1"/>
  <c r="D55" i="67"/>
  <c r="F8" i="21"/>
  <c r="K8" i="21" s="1"/>
  <c r="J8" i="21"/>
  <c r="O8" i="21"/>
  <c r="P103" i="21"/>
  <c r="F8" i="37"/>
  <c r="B9" i="37"/>
  <c r="F27" i="74"/>
  <c r="J20" i="22"/>
  <c r="F6" i="65"/>
  <c r="H23" i="65"/>
  <c r="J56" i="21"/>
  <c r="C60" i="21"/>
  <c r="F56" i="21"/>
  <c r="K56" i="21" s="1"/>
  <c r="K60" i="21" s="1"/>
  <c r="O56" i="21"/>
  <c r="B26" i="70"/>
  <c r="B23" i="69"/>
  <c r="B29" i="69"/>
  <c r="D60" i="23"/>
  <c r="J57" i="23"/>
  <c r="F57" i="23"/>
  <c r="B57" i="67"/>
  <c r="E30" i="75"/>
  <c r="E30" i="51"/>
  <c r="B19" i="71"/>
  <c r="B7" i="74" s="1"/>
  <c r="B71" i="63"/>
  <c r="J22" i="62"/>
  <c r="F22" i="62"/>
  <c r="K22" i="62" s="1"/>
  <c r="D5" i="64"/>
  <c r="B53" i="64"/>
  <c r="D9" i="64"/>
  <c r="J15" i="62"/>
  <c r="F15" i="62"/>
  <c r="K15" i="62" s="1"/>
  <c r="K36" i="48"/>
  <c r="L36" i="48" s="1"/>
  <c r="G36" i="48"/>
  <c r="B73" i="63"/>
  <c r="I7" i="22"/>
  <c r="E7" i="22"/>
  <c r="O78" i="21"/>
  <c r="J78" i="21"/>
  <c r="F78" i="21"/>
  <c r="K78" i="21" s="1"/>
  <c r="K82" i="21" s="1"/>
  <c r="C82" i="21"/>
  <c r="H17" i="72"/>
  <c r="B25" i="73"/>
  <c r="B22" i="72"/>
  <c r="N35" i="21"/>
  <c r="B39" i="21"/>
  <c r="D91" i="62"/>
  <c r="D90" i="62"/>
  <c r="P90" i="21" s="1"/>
  <c r="F27" i="47"/>
  <c r="F64" i="47" s="1"/>
  <c r="H5" i="72"/>
  <c r="H11" i="72"/>
  <c r="B76" i="67"/>
  <c r="C38" i="21"/>
  <c r="N11" i="21"/>
  <c r="K16" i="48"/>
  <c r="D13" i="49"/>
  <c r="G16" i="48"/>
  <c r="F10" i="21"/>
  <c r="K10" i="21" s="1"/>
  <c r="J10" i="21"/>
  <c r="K30" i="48"/>
  <c r="G30" i="48"/>
  <c r="B47" i="67"/>
  <c r="E15" i="75"/>
  <c r="E15" i="51"/>
  <c r="I81" i="54"/>
  <c r="H82" i="54"/>
  <c r="H75" i="54"/>
  <c r="C76" i="54"/>
  <c r="D76" i="54" s="1"/>
  <c r="D75" i="54"/>
  <c r="C109" i="54"/>
  <c r="F109" i="54" s="1"/>
  <c r="G31" i="48"/>
  <c r="K31" i="48"/>
  <c r="D12" i="49"/>
  <c r="G15" i="48"/>
  <c r="K15" i="48"/>
  <c r="H29" i="54"/>
  <c r="C30" i="54"/>
  <c r="D30" i="54" s="1"/>
  <c r="B22" i="73"/>
  <c r="D12" i="74"/>
  <c r="D7" i="74"/>
  <c r="F49" i="21"/>
  <c r="K49" i="21" s="1"/>
  <c r="J49" i="21"/>
  <c r="E37" i="51"/>
  <c r="E37" i="75"/>
  <c r="N65" i="21" l="1"/>
  <c r="B72" i="21"/>
  <c r="N72" i="21" s="1"/>
  <c r="O49" i="21"/>
  <c r="P91" i="21"/>
  <c r="F7" i="74"/>
  <c r="B12" i="74"/>
  <c r="F31" i="64"/>
  <c r="L16" i="48"/>
  <c r="J15" i="21"/>
  <c r="F15" i="21"/>
  <c r="K15" i="21" s="1"/>
  <c r="O15" i="21"/>
  <c r="N63" i="21"/>
  <c r="B67" i="21"/>
  <c r="B70" i="21"/>
  <c r="J63" i="62"/>
  <c r="J67" i="62" s="1"/>
  <c r="C67" i="62"/>
  <c r="F63" i="62"/>
  <c r="K63" i="62" s="1"/>
  <c r="K67" i="62" s="1"/>
  <c r="J50" i="21"/>
  <c r="F50" i="21"/>
  <c r="K50" i="21" s="1"/>
  <c r="O50" i="21"/>
  <c r="C72" i="21"/>
  <c r="J65" i="63"/>
  <c r="F65" i="63"/>
  <c r="K65" i="63" s="1"/>
  <c r="J16" i="21"/>
  <c r="O16" i="21"/>
  <c r="F16" i="21"/>
  <c r="K16" i="21" s="1"/>
  <c r="J65" i="21"/>
  <c r="F65" i="21"/>
  <c r="K65" i="21" s="1"/>
  <c r="O65" i="21"/>
  <c r="J24" i="82"/>
  <c r="K23" i="47"/>
  <c r="D6" i="65"/>
  <c r="J23" i="65"/>
  <c r="C60" i="63"/>
  <c r="J56" i="63"/>
  <c r="J60" i="63" s="1"/>
  <c r="F56" i="63"/>
  <c r="K56" i="63" s="1"/>
  <c r="K60" i="63" s="1"/>
  <c r="I70" i="54"/>
  <c r="H71" i="54"/>
  <c r="I71" i="54" s="1"/>
  <c r="J48" i="21"/>
  <c r="F48" i="21"/>
  <c r="K48" i="21" s="1"/>
  <c r="C52" i="21"/>
  <c r="O48" i="21"/>
  <c r="I29" i="54"/>
  <c r="H30" i="54"/>
  <c r="B30" i="73"/>
  <c r="J7" i="22"/>
  <c r="F22" i="67"/>
  <c r="D22" i="67" s="1"/>
  <c r="J50" i="62"/>
  <c r="C72" i="62"/>
  <c r="F50" i="62"/>
  <c r="K50" i="62" s="1"/>
  <c r="J21" i="63"/>
  <c r="J25" i="63" s="1"/>
  <c r="C25" i="63"/>
  <c r="F25" i="63" s="1"/>
  <c r="F21" i="63"/>
  <c r="K21" i="63" s="1"/>
  <c r="K25" i="63" s="1"/>
  <c r="I6" i="22"/>
  <c r="E6" i="22"/>
  <c r="J23" i="21"/>
  <c r="O23" i="21"/>
  <c r="F23" i="21"/>
  <c r="K23" i="21" s="1"/>
  <c r="C13" i="59"/>
  <c r="F82" i="62"/>
  <c r="C12" i="59"/>
  <c r="E50" i="51"/>
  <c r="L30" i="48"/>
  <c r="F54" i="67"/>
  <c r="D54" i="67" s="1"/>
  <c r="B7" i="25"/>
  <c r="F7" i="25" s="1"/>
  <c r="J7" i="25" s="1"/>
  <c r="B4" i="25"/>
  <c r="J49" i="63"/>
  <c r="F49" i="63"/>
  <c r="K49" i="63" s="1"/>
  <c r="K57" i="23"/>
  <c r="J48" i="63"/>
  <c r="C52" i="63"/>
  <c r="F48" i="63"/>
  <c r="K48" i="63" s="1"/>
  <c r="J53" i="23"/>
  <c r="K103" i="23"/>
  <c r="D59" i="23"/>
  <c r="F53" i="23"/>
  <c r="O22" i="21"/>
  <c r="F22" i="21"/>
  <c r="K22" i="21" s="1"/>
  <c r="J22" i="21"/>
  <c r="J36" i="21" s="1"/>
  <c r="E50" i="75"/>
  <c r="J51" i="62"/>
  <c r="C73" i="62"/>
  <c r="F51" i="62"/>
  <c r="K51" i="62" s="1"/>
  <c r="J60" i="23"/>
  <c r="K60" i="23" s="1"/>
  <c r="F60" i="23"/>
  <c r="J17" i="21"/>
  <c r="O17" i="21"/>
  <c r="F17" i="21"/>
  <c r="K17" i="21" s="1"/>
  <c r="N66" i="21"/>
  <c r="B73" i="21"/>
  <c r="N73" i="21" s="1"/>
  <c r="J8" i="37"/>
  <c r="C36" i="21"/>
  <c r="J50" i="63"/>
  <c r="C72" i="63"/>
  <c r="F50" i="63"/>
  <c r="K50" i="63" s="1"/>
  <c r="E38" i="75"/>
  <c r="E54" i="75" s="1"/>
  <c r="B48" i="23"/>
  <c r="C34" i="54"/>
  <c r="J7" i="62"/>
  <c r="C11" i="62"/>
  <c r="F11" i="62" s="1"/>
  <c r="F7" i="62"/>
  <c r="K7" i="62" s="1"/>
  <c r="F38" i="21"/>
  <c r="K38" i="21" s="1"/>
  <c r="C35" i="63"/>
  <c r="C71" i="62"/>
  <c r="J49" i="62"/>
  <c r="F49" i="62"/>
  <c r="K49" i="62" s="1"/>
  <c r="G13" i="51"/>
  <c r="K13" i="51"/>
  <c r="I8" i="22"/>
  <c r="E8" i="22"/>
  <c r="I38" i="22"/>
  <c r="J38" i="22" s="1"/>
  <c r="J33" i="22"/>
  <c r="C37" i="21"/>
  <c r="F9" i="21"/>
  <c r="K9" i="21" s="1"/>
  <c r="O9" i="21"/>
  <c r="J9" i="21"/>
  <c r="J37" i="21" s="1"/>
  <c r="I87" i="54"/>
  <c r="J10" i="62"/>
  <c r="J38" i="62" s="1"/>
  <c r="C38" i="62"/>
  <c r="F38" i="62" s="1"/>
  <c r="K38" i="62" s="1"/>
  <c r="F10" i="62"/>
  <c r="K10" i="62" s="1"/>
  <c r="F51" i="21"/>
  <c r="K51" i="21" s="1"/>
  <c r="J51" i="21"/>
  <c r="O51" i="21"/>
  <c r="F44" i="67"/>
  <c r="L15" i="48"/>
  <c r="J24" i="21"/>
  <c r="J38" i="21" s="1"/>
  <c r="F24" i="21"/>
  <c r="K24" i="21" s="1"/>
  <c r="O24" i="21"/>
  <c r="N39" i="21"/>
  <c r="F82" i="21"/>
  <c r="O82" i="21"/>
  <c r="J9" i="62"/>
  <c r="J37" i="62" s="1"/>
  <c r="C37" i="62"/>
  <c r="F37" i="62" s="1"/>
  <c r="K37" i="62" s="1"/>
  <c r="F9" i="62"/>
  <c r="K9" i="62" s="1"/>
  <c r="I27" i="47"/>
  <c r="H18" i="69"/>
  <c r="J18" i="69" s="1"/>
  <c r="H5" i="69"/>
  <c r="H11" i="69"/>
  <c r="H17" i="69"/>
  <c r="O60" i="21"/>
  <c r="J25" i="82"/>
  <c r="D39" i="74"/>
  <c r="F28" i="74"/>
  <c r="N64" i="21"/>
  <c r="B71" i="21"/>
  <c r="N71" i="21" s="1"/>
  <c r="J48" i="62"/>
  <c r="C52" i="62"/>
  <c r="C70" i="62"/>
  <c r="F48" i="62"/>
  <c r="K48" i="62" s="1"/>
  <c r="B32" i="73"/>
  <c r="L31" i="48"/>
  <c r="F41" i="64"/>
  <c r="D41" i="64" s="1"/>
  <c r="I75" i="54"/>
  <c r="H76" i="54"/>
  <c r="I76" i="54" s="1"/>
  <c r="H23" i="69"/>
  <c r="B30" i="70"/>
  <c r="B27" i="69"/>
  <c r="J60" i="21"/>
  <c r="Q56" i="21"/>
  <c r="B17" i="30"/>
  <c r="B6" i="30" s="1"/>
  <c r="E12" i="49"/>
  <c r="I12" i="49"/>
  <c r="J12" i="49" s="1"/>
  <c r="I82" i="54"/>
  <c r="O10" i="21"/>
  <c r="F7" i="21"/>
  <c r="K7" i="21" s="1"/>
  <c r="K11" i="21" s="1"/>
  <c r="C11" i="21"/>
  <c r="J7" i="21"/>
  <c r="O7" i="21"/>
  <c r="I13" i="49"/>
  <c r="E13" i="49"/>
  <c r="B67" i="63"/>
  <c r="B70" i="63"/>
  <c r="B74" i="63" s="1"/>
  <c r="Q78" i="21"/>
  <c r="J82" i="21"/>
  <c r="B27" i="70"/>
  <c r="K23" i="65"/>
  <c r="B75" i="67"/>
  <c r="J36" i="62"/>
  <c r="B15" i="66"/>
  <c r="B20" i="65"/>
  <c r="C35" i="62" l="1"/>
  <c r="Q51" i="21"/>
  <c r="J52" i="62"/>
  <c r="J37" i="82"/>
  <c r="K52" i="62"/>
  <c r="C35" i="21"/>
  <c r="C39" i="21" s="1"/>
  <c r="Q49" i="21"/>
  <c r="C39" i="63"/>
  <c r="F35" i="63"/>
  <c r="K35" i="63" s="1"/>
  <c r="K39" i="63" s="1"/>
  <c r="J13" i="49"/>
  <c r="D11" i="74"/>
  <c r="D6" i="74"/>
  <c r="B34" i="70"/>
  <c r="K16" i="75"/>
  <c r="L16" i="75" s="1"/>
  <c r="G16" i="75"/>
  <c r="J71" i="62"/>
  <c r="F71" i="62"/>
  <c r="K71" i="62" s="1"/>
  <c r="F59" i="23"/>
  <c r="J59" i="23"/>
  <c r="D61" i="23"/>
  <c r="F61" i="23" s="1"/>
  <c r="B38" i="78"/>
  <c r="F38" i="78" s="1"/>
  <c r="B30" i="78"/>
  <c r="F30" i="78" s="1"/>
  <c r="K16" i="51"/>
  <c r="G16" i="51"/>
  <c r="C24" i="54"/>
  <c r="D48" i="67"/>
  <c r="F48" i="67" s="1"/>
  <c r="D58" i="67"/>
  <c r="F58" i="67" s="1"/>
  <c r="Q60" i="21"/>
  <c r="F14" i="21"/>
  <c r="K14" i="21" s="1"/>
  <c r="K18" i="21" s="1"/>
  <c r="C18" i="21"/>
  <c r="J14" i="21"/>
  <c r="J18" i="21" s="1"/>
  <c r="O14" i="21"/>
  <c r="J8" i="22"/>
  <c r="F22" i="64"/>
  <c r="C39" i="62"/>
  <c r="F35" i="62"/>
  <c r="K35" i="62" s="1"/>
  <c r="K39" i="62" s="1"/>
  <c r="M103" i="23"/>
  <c r="K104" i="23"/>
  <c r="M104" i="23" s="1"/>
  <c r="K52" i="63"/>
  <c r="O52" i="21"/>
  <c r="J24" i="84"/>
  <c r="L24" i="82"/>
  <c r="B74" i="21"/>
  <c r="N70" i="21"/>
  <c r="J11" i="62"/>
  <c r="J72" i="63"/>
  <c r="F72" i="63"/>
  <c r="K72" i="63" s="1"/>
  <c r="J21" i="21"/>
  <c r="J25" i="21" s="1"/>
  <c r="C25" i="21"/>
  <c r="O21" i="21"/>
  <c r="F21" i="21"/>
  <c r="K21" i="21" s="1"/>
  <c r="K25" i="21" s="1"/>
  <c r="K53" i="23"/>
  <c r="K52" i="21"/>
  <c r="N67" i="21"/>
  <c r="B36" i="70"/>
  <c r="H16" i="65"/>
  <c r="J16" i="65" s="1"/>
  <c r="L27" i="47"/>
  <c r="H6" i="65"/>
  <c r="J6" i="65" s="1"/>
  <c r="H5" i="65"/>
  <c r="H15" i="65"/>
  <c r="H10" i="65"/>
  <c r="J72" i="62"/>
  <c r="F72" i="62"/>
  <c r="K72" i="62" s="1"/>
  <c r="J52" i="21"/>
  <c r="Q48" i="21"/>
  <c r="B39" i="74"/>
  <c r="F12" i="74"/>
  <c r="F7" i="64"/>
  <c r="L13" i="51"/>
  <c r="H34" i="54"/>
  <c r="C35" i="54"/>
  <c r="D35" i="54" s="1"/>
  <c r="F36" i="21"/>
  <c r="K36" i="21" s="1"/>
  <c r="O36" i="21"/>
  <c r="I10" i="22"/>
  <c r="E10" i="22"/>
  <c r="J52" i="63"/>
  <c r="J72" i="21"/>
  <c r="F72" i="21"/>
  <c r="K72" i="21" s="1"/>
  <c r="O72" i="21"/>
  <c r="D44" i="67"/>
  <c r="F37" i="21"/>
  <c r="K37" i="21" s="1"/>
  <c r="O37" i="21"/>
  <c r="B17" i="66"/>
  <c r="D31" i="64"/>
  <c r="B19" i="37"/>
  <c r="B24" i="37"/>
  <c r="D35" i="64"/>
  <c r="D45" i="64"/>
  <c r="Q82" i="21"/>
  <c r="J11" i="21"/>
  <c r="C74" i="62"/>
  <c r="J70" i="62"/>
  <c r="F70" i="62"/>
  <c r="K70" i="62" s="1"/>
  <c r="E11" i="22"/>
  <c r="I11" i="22"/>
  <c r="H51" i="64" s="1"/>
  <c r="I64" i="47"/>
  <c r="D9" i="67"/>
  <c r="F9" i="67" s="1"/>
  <c r="D37" i="67"/>
  <c r="F37" i="67" s="1"/>
  <c r="O38" i="21"/>
  <c r="K8" i="37"/>
  <c r="J73" i="62"/>
  <c r="F73" i="62"/>
  <c r="K73" i="62" s="1"/>
  <c r="J21" i="62"/>
  <c r="J25" i="62" s="1"/>
  <c r="C25" i="62"/>
  <c r="F25" i="62" s="1"/>
  <c r="F21" i="62"/>
  <c r="K21" i="62" s="1"/>
  <c r="K25" i="62" s="1"/>
  <c r="E13" i="59"/>
  <c r="L13" i="59" s="1"/>
  <c r="D93" i="63"/>
  <c r="D93" i="62"/>
  <c r="F11" i="21"/>
  <c r="O11" i="21"/>
  <c r="C18" i="63"/>
  <c r="F18" i="63" s="1"/>
  <c r="J14" i="63"/>
  <c r="F14" i="63"/>
  <c r="K14" i="63" s="1"/>
  <c r="K18" i="63" s="1"/>
  <c r="K11" i="62"/>
  <c r="H21" i="84"/>
  <c r="H21" i="82"/>
  <c r="J6" i="22"/>
  <c r="F14" i="71"/>
  <c r="H33" i="71"/>
  <c r="J14" i="62"/>
  <c r="J18" i="62" s="1"/>
  <c r="C18" i="62"/>
  <c r="F18" i="62" s="1"/>
  <c r="F14" i="62"/>
  <c r="K14" i="62" s="1"/>
  <c r="K18" i="62" s="1"/>
  <c r="I30" i="54"/>
  <c r="Q65" i="21"/>
  <c r="Q50" i="21"/>
  <c r="D94" i="63"/>
  <c r="D94" i="62"/>
  <c r="J35" i="21" l="1"/>
  <c r="J39" i="21" s="1"/>
  <c r="O35" i="21"/>
  <c r="F35" i="21"/>
  <c r="K35" i="21" s="1"/>
  <c r="K39" i="21" s="1"/>
  <c r="P94" i="21"/>
  <c r="P93" i="21"/>
  <c r="F50" i="75"/>
  <c r="K50" i="75" s="1"/>
  <c r="L50" i="75" s="1"/>
  <c r="D13" i="59"/>
  <c r="F13" i="59" s="1"/>
  <c r="G13" i="59" s="1"/>
  <c r="K74" i="62"/>
  <c r="G30" i="75"/>
  <c r="K30" i="75"/>
  <c r="F25" i="21"/>
  <c r="O25" i="21"/>
  <c r="L16" i="51"/>
  <c r="F34" i="64"/>
  <c r="F11" i="74"/>
  <c r="O39" i="21"/>
  <c r="G31" i="75"/>
  <c r="K31" i="75"/>
  <c r="J74" i="62"/>
  <c r="J66" i="21"/>
  <c r="O66" i="21"/>
  <c r="F66" i="21"/>
  <c r="K66" i="21" s="1"/>
  <c r="C73" i="21"/>
  <c r="C67" i="21"/>
  <c r="J63" i="21"/>
  <c r="O63" i="21"/>
  <c r="F63" i="21"/>
  <c r="K63" i="21" s="1"/>
  <c r="C70" i="21"/>
  <c r="H18" i="54"/>
  <c r="C19" i="54"/>
  <c r="D19" i="54" s="1"/>
  <c r="D18" i="54"/>
  <c r="L64" i="47"/>
  <c r="Q72" i="21"/>
  <c r="B20" i="37"/>
  <c r="B25" i="37"/>
  <c r="J64" i="21"/>
  <c r="F64" i="21"/>
  <c r="K64" i="21" s="1"/>
  <c r="C71" i="21"/>
  <c r="D22" i="64"/>
  <c r="B7" i="78"/>
  <c r="B14" i="78"/>
  <c r="F5" i="25"/>
  <c r="J5" i="25" s="1"/>
  <c r="F45" i="64"/>
  <c r="I34" i="54"/>
  <c r="H35" i="54"/>
  <c r="D7" i="64"/>
  <c r="F10" i="64"/>
  <c r="F18" i="37"/>
  <c r="J35" i="62"/>
  <c r="J39" i="62" s="1"/>
  <c r="L24" i="84"/>
  <c r="J37" i="84"/>
  <c r="H22" i="66"/>
  <c r="E9" i="47"/>
  <c r="J33" i="71"/>
  <c r="D14" i="71"/>
  <c r="E12" i="59"/>
  <c r="L12" i="59" s="1"/>
  <c r="E51" i="47" s="1"/>
  <c r="K15" i="75"/>
  <c r="G15" i="75"/>
  <c r="F35" i="64"/>
  <c r="G37" i="51"/>
  <c r="K37" i="51"/>
  <c r="K36" i="51"/>
  <c r="G36" i="51"/>
  <c r="F38" i="75"/>
  <c r="G38" i="75" s="1"/>
  <c r="G37" i="75"/>
  <c r="K37" i="75"/>
  <c r="N74" i="21"/>
  <c r="L21" i="82"/>
  <c r="J18" i="63"/>
  <c r="J35" i="63"/>
  <c r="J39" i="63" s="1"/>
  <c r="G30" i="51"/>
  <c r="K30" i="51"/>
  <c r="O18" i="21"/>
  <c r="F18" i="21"/>
  <c r="C104" i="54"/>
  <c r="F104" i="54" s="1"/>
  <c r="D44" i="23"/>
  <c r="H24" i="54"/>
  <c r="C25" i="54"/>
  <c r="D25" i="54" s="1"/>
  <c r="C73" i="63"/>
  <c r="J66" i="63"/>
  <c r="F66" i="63"/>
  <c r="K66" i="63" s="1"/>
  <c r="L21" i="84"/>
  <c r="D12" i="59"/>
  <c r="G15" i="51"/>
  <c r="K15" i="51"/>
  <c r="F50" i="51"/>
  <c r="F53" i="67"/>
  <c r="D53" i="67" s="1"/>
  <c r="J10" i="22"/>
  <c r="G36" i="75"/>
  <c r="K36" i="75"/>
  <c r="Q52" i="21"/>
  <c r="F40" i="64"/>
  <c r="D40" i="64" s="1"/>
  <c r="J11" i="22"/>
  <c r="O64" i="21"/>
  <c r="J64" i="63"/>
  <c r="F64" i="63"/>
  <c r="K64" i="63" s="1"/>
  <c r="C71" i="63"/>
  <c r="J63" i="63"/>
  <c r="C67" i="63"/>
  <c r="F63" i="63"/>
  <c r="K63" i="63" s="1"/>
  <c r="C70" i="63"/>
  <c r="K31" i="51"/>
  <c r="G31" i="51"/>
  <c r="J61" i="23"/>
  <c r="K61" i="23" s="1"/>
  <c r="K59" i="23"/>
  <c r="G50" i="75" l="1"/>
  <c r="K13" i="59"/>
  <c r="M13" i="59" s="1"/>
  <c r="N13" i="59" s="1"/>
  <c r="J67" i="63"/>
  <c r="K67" i="63"/>
  <c r="G51" i="47"/>
  <c r="D92" i="54"/>
  <c r="F20" i="37"/>
  <c r="B21" i="37"/>
  <c r="B26" i="37"/>
  <c r="Q63" i="21"/>
  <c r="J67" i="21"/>
  <c r="C94" i="54"/>
  <c r="F94" i="54" s="1"/>
  <c r="D44" i="54"/>
  <c r="C45" i="54"/>
  <c r="D45" i="54" s="1"/>
  <c r="H44" i="54"/>
  <c r="L36" i="51"/>
  <c r="C93" i="21"/>
  <c r="J18" i="37"/>
  <c r="J51" i="64"/>
  <c r="I18" i="54"/>
  <c r="H19" i="54"/>
  <c r="O67" i="21"/>
  <c r="L36" i="75"/>
  <c r="L37" i="51"/>
  <c r="D60" i="54"/>
  <c r="H60" i="54"/>
  <c r="C61" i="54"/>
  <c r="D61" i="54" s="1"/>
  <c r="F14" i="78"/>
  <c r="K9" i="47"/>
  <c r="K35" i="47" s="1"/>
  <c r="F6" i="37"/>
  <c r="F12" i="37"/>
  <c r="J73" i="21"/>
  <c r="O73" i="21"/>
  <c r="F73" i="21"/>
  <c r="K73" i="21" s="1"/>
  <c r="H49" i="54"/>
  <c r="D49" i="54"/>
  <c r="C50" i="54"/>
  <c r="D50" i="54" s="1"/>
  <c r="J73" i="63"/>
  <c r="F73" i="63"/>
  <c r="K73" i="63" s="1"/>
  <c r="I24" i="54"/>
  <c r="H25" i="54"/>
  <c r="F7" i="78"/>
  <c r="C74" i="63"/>
  <c r="J70" i="63"/>
  <c r="F70" i="63"/>
  <c r="K70" i="63" s="1"/>
  <c r="K50" i="51"/>
  <c r="L50" i="51" s="1"/>
  <c r="G50" i="51"/>
  <c r="F44" i="23"/>
  <c r="D47" i="23"/>
  <c r="J44" i="23"/>
  <c r="F57" i="67"/>
  <c r="D57" i="67" s="1"/>
  <c r="L30" i="51"/>
  <c r="I35" i="54"/>
  <c r="J71" i="21"/>
  <c r="F71" i="21"/>
  <c r="K71" i="21" s="1"/>
  <c r="O71" i="21"/>
  <c r="K33" i="71"/>
  <c r="H25" i="82"/>
  <c r="H25" i="84"/>
  <c r="F44" i="64"/>
  <c r="L31" i="51"/>
  <c r="L15" i="51"/>
  <c r="F47" i="67"/>
  <c r="F6" i="66"/>
  <c r="D10" i="64"/>
  <c r="C74" i="21"/>
  <c r="F70" i="21"/>
  <c r="K70" i="21" s="1"/>
  <c r="K74" i="21" s="1"/>
  <c r="J70" i="21"/>
  <c r="O70" i="21"/>
  <c r="Q66" i="21"/>
  <c r="K38" i="75"/>
  <c r="L38" i="75" s="1"/>
  <c r="L37" i="75"/>
  <c r="L15" i="75"/>
  <c r="Q64" i="21"/>
  <c r="D55" i="54"/>
  <c r="H55" i="54"/>
  <c r="C56" i="54"/>
  <c r="D56" i="54" s="1"/>
  <c r="K67" i="21"/>
  <c r="L31" i="75"/>
  <c r="D34" i="64"/>
  <c r="F36" i="64"/>
  <c r="J71" i="63"/>
  <c r="Q71" i="21" s="1"/>
  <c r="F71" i="63"/>
  <c r="K71" i="63" s="1"/>
  <c r="K12" i="59"/>
  <c r="M12" i="59" s="1"/>
  <c r="N12" i="59" s="1"/>
  <c r="F12" i="59"/>
  <c r="G12" i="59" s="1"/>
  <c r="L30" i="75"/>
  <c r="D47" i="67" l="1"/>
  <c r="F49" i="67"/>
  <c r="J74" i="63"/>
  <c r="C14" i="54"/>
  <c r="D14" i="54" s="1"/>
  <c r="H13" i="54"/>
  <c r="D13" i="54"/>
  <c r="L25" i="84"/>
  <c r="B25" i="84"/>
  <c r="F25" i="84" s="1"/>
  <c r="K44" i="23"/>
  <c r="J47" i="23"/>
  <c r="I49" i="54"/>
  <c r="H50" i="54"/>
  <c r="I50" i="54" s="1"/>
  <c r="J12" i="37"/>
  <c r="D8" i="54"/>
  <c r="C91" i="54"/>
  <c r="C9" i="54"/>
  <c r="D9" i="54" s="1"/>
  <c r="H8" i="54"/>
  <c r="D40" i="23"/>
  <c r="J74" i="21"/>
  <c r="Q70" i="21"/>
  <c r="B25" i="82"/>
  <c r="L25" i="82"/>
  <c r="F47" i="23"/>
  <c r="C90" i="21"/>
  <c r="F24" i="37"/>
  <c r="D24" i="37" s="1"/>
  <c r="J6" i="37"/>
  <c r="Q67" i="21"/>
  <c r="F9" i="66"/>
  <c r="D9" i="66" s="1"/>
  <c r="D36" i="64"/>
  <c r="O74" i="21"/>
  <c r="D44" i="64"/>
  <c r="Q73" i="21"/>
  <c r="I19" i="54"/>
  <c r="H52" i="64"/>
  <c r="B27" i="37"/>
  <c r="I55" i="54"/>
  <c r="H56" i="54"/>
  <c r="I56" i="54" s="1"/>
  <c r="K18" i="37"/>
  <c r="I44" i="54"/>
  <c r="H45" i="54"/>
  <c r="I45" i="54" s="1"/>
  <c r="J20" i="37"/>
  <c r="F26" i="37"/>
  <c r="D26" i="37" s="1"/>
  <c r="J22" i="66"/>
  <c r="K22" i="66" s="1"/>
  <c r="K51" i="64"/>
  <c r="D6" i="66"/>
  <c r="K74" i="63"/>
  <c r="I25" i="54"/>
  <c r="I60" i="54"/>
  <c r="H61" i="54"/>
  <c r="I61" i="54" s="1"/>
  <c r="C93" i="63"/>
  <c r="F93" i="21"/>
  <c r="K93" i="21" s="1"/>
  <c r="J93" i="21"/>
  <c r="C93" i="62"/>
  <c r="O93" i="21" l="1"/>
  <c r="K12" i="37"/>
  <c r="K20" i="37"/>
  <c r="J26" i="37"/>
  <c r="K26" i="37" s="1"/>
  <c r="J24" i="37"/>
  <c r="K24" i="37" s="1"/>
  <c r="K6" i="37"/>
  <c r="K47" i="23"/>
  <c r="D46" i="23"/>
  <c r="K96" i="23"/>
  <c r="J40" i="23"/>
  <c r="F40" i="23"/>
  <c r="Q74" i="21"/>
  <c r="I8" i="54"/>
  <c r="H9" i="54"/>
  <c r="F90" i="21"/>
  <c r="K90" i="21" s="1"/>
  <c r="C90" i="62"/>
  <c r="J90" i="21"/>
  <c r="C90" i="63"/>
  <c r="H9" i="82"/>
  <c r="H9" i="84"/>
  <c r="J93" i="62"/>
  <c r="F93" i="62"/>
  <c r="K93" i="62" s="1"/>
  <c r="J93" i="63"/>
  <c r="F93" i="63"/>
  <c r="K93" i="63" s="1"/>
  <c r="L96" i="23"/>
  <c r="L97" i="23" s="1"/>
  <c r="F91" i="54"/>
  <c r="C92" i="54"/>
  <c r="F92" i="54" s="1"/>
  <c r="I13" i="54"/>
  <c r="H14" i="54"/>
  <c r="D17" i="64"/>
  <c r="D27" i="64"/>
  <c r="F10" i="70"/>
  <c r="D10" i="70" s="1"/>
  <c r="D49" i="67"/>
  <c r="O90" i="21" l="1"/>
  <c r="Q93" i="21"/>
  <c r="F46" i="23"/>
  <c r="D48" i="23"/>
  <c r="F48" i="23" s="1"/>
  <c r="F17" i="64"/>
  <c r="J90" i="63"/>
  <c r="F90" i="63"/>
  <c r="K90" i="63" s="1"/>
  <c r="M96" i="23"/>
  <c r="K97" i="23"/>
  <c r="M97" i="23" s="1"/>
  <c r="F27" i="64"/>
  <c r="C24" i="42"/>
  <c r="J90" i="62"/>
  <c r="F90" i="62"/>
  <c r="K90" i="62" s="1"/>
  <c r="D17" i="67"/>
  <c r="D27" i="67"/>
  <c r="I9" i="54"/>
  <c r="H34" i="71"/>
  <c r="H73" i="67"/>
  <c r="I14" i="54"/>
  <c r="K40" i="23"/>
  <c r="J46" i="23"/>
  <c r="F17" i="67" l="1"/>
  <c r="K10" i="47"/>
  <c r="J52" i="64"/>
  <c r="K46" i="23"/>
  <c r="J48" i="23"/>
  <c r="K48" i="23" s="1"/>
  <c r="Q90" i="21"/>
  <c r="D19" i="71"/>
  <c r="D9" i="71"/>
  <c r="F27" i="67"/>
  <c r="J73" i="67" l="1"/>
  <c r="H10" i="47"/>
  <c r="K52" i="64"/>
  <c r="F19" i="71"/>
  <c r="F9" i="71"/>
  <c r="E10" i="47" l="1"/>
  <c r="J34" i="71"/>
  <c r="K73" i="67"/>
  <c r="K34" i="71" l="1"/>
  <c r="B87" i="32" l="1"/>
  <c r="B76" i="32" l="1"/>
  <c r="B17" i="65" s="1"/>
  <c r="H17" i="65" s="1"/>
  <c r="F7" i="80"/>
  <c r="B5" i="55"/>
  <c r="L15" i="57"/>
  <c r="P21" i="82" s="1"/>
  <c r="P37" i="82" s="1"/>
  <c r="I15" i="57"/>
  <c r="B26" i="76" l="1"/>
  <c r="B82" i="32"/>
  <c r="B26" i="23"/>
  <c r="H36" i="78"/>
  <c r="B71" i="32"/>
  <c r="B19" i="69" s="1"/>
  <c r="H19" i="69" s="1"/>
  <c r="B22" i="23"/>
  <c r="P21" i="84"/>
  <c r="P37" i="84" s="1"/>
  <c r="M15" i="57"/>
  <c r="C17" i="76"/>
  <c r="H28" i="78"/>
  <c r="B19" i="76"/>
  <c r="C16" i="76" s="1"/>
  <c r="B27" i="76"/>
  <c r="B10" i="76"/>
  <c r="C7" i="76" s="1"/>
  <c r="B25" i="76"/>
  <c r="H7" i="80"/>
  <c r="B29" i="23" l="1"/>
  <c r="B88" i="23"/>
  <c r="B91" i="23" s="1"/>
  <c r="B92" i="23" s="1"/>
  <c r="F28" i="78"/>
  <c r="F36" i="78"/>
  <c r="D24" i="82"/>
  <c r="D25" i="82"/>
  <c r="D17" i="82"/>
  <c r="D21" i="84"/>
  <c r="D21" i="82"/>
  <c r="D17" i="84"/>
  <c r="D4" i="25"/>
  <c r="C18" i="76"/>
  <c r="C19" i="76" s="1"/>
  <c r="C9" i="76"/>
  <c r="C8" i="76"/>
  <c r="C10" i="76" s="1"/>
  <c r="B35" i="32"/>
  <c r="B28" i="76"/>
  <c r="B15" i="77" s="1"/>
  <c r="C25" i="76"/>
  <c r="B107" i="23"/>
  <c r="B28" i="23"/>
  <c r="B84" i="23"/>
  <c r="B90" i="23" s="1"/>
  <c r="C87" i="32"/>
  <c r="D87" i="32" s="1"/>
  <c r="H86" i="32"/>
  <c r="D86" i="32"/>
  <c r="D26" i="23" l="1"/>
  <c r="D81" i="32"/>
  <c r="C82" i="32"/>
  <c r="D82" i="32" s="1"/>
  <c r="H81" i="32"/>
  <c r="D75" i="32"/>
  <c r="C76" i="32"/>
  <c r="D76" i="32" s="1"/>
  <c r="C109" i="32"/>
  <c r="F109" i="32" s="1"/>
  <c r="H75" i="32"/>
  <c r="B19" i="32"/>
  <c r="B11" i="65" s="1"/>
  <c r="H11" i="65" s="1"/>
  <c r="C26" i="76"/>
  <c r="D37" i="82"/>
  <c r="F25" i="82"/>
  <c r="I51" i="47"/>
  <c r="L51" i="47" s="1"/>
  <c r="B25" i="77" s="1"/>
  <c r="B30" i="23"/>
  <c r="B108" i="23" s="1"/>
  <c r="J30" i="78"/>
  <c r="J38" i="78"/>
  <c r="F4" i="25"/>
  <c r="J4" i="25" s="1"/>
  <c r="B7" i="77" s="1"/>
  <c r="B56" i="32"/>
  <c r="F24" i="82"/>
  <c r="D24" i="84"/>
  <c r="F24" i="84" s="1"/>
  <c r="D6" i="25"/>
  <c r="J9" i="80" s="1"/>
  <c r="I86" i="32"/>
  <c r="H87" i="32"/>
  <c r="I87" i="32" s="1"/>
  <c r="C27" i="76"/>
  <c r="C28" i="76" s="1"/>
  <c r="J39" i="78" l="1"/>
  <c r="J40" i="78" s="1"/>
  <c r="L38" i="78"/>
  <c r="B45" i="32"/>
  <c r="B13" i="72" s="1"/>
  <c r="H13" i="72" s="1"/>
  <c r="J26" i="23"/>
  <c r="D29" i="23"/>
  <c r="F26" i="23"/>
  <c r="D88" i="23"/>
  <c r="J31" i="78"/>
  <c r="J32" i="78" s="1"/>
  <c r="L30" i="78"/>
  <c r="D70" i="32"/>
  <c r="H70" i="32"/>
  <c r="C71" i="32"/>
  <c r="D71" i="32" s="1"/>
  <c r="C107" i="32"/>
  <c r="F107" i="32" s="1"/>
  <c r="D22" i="23"/>
  <c r="H76" i="32"/>
  <c r="I75" i="32"/>
  <c r="B61" i="32"/>
  <c r="J10" i="80"/>
  <c r="J11" i="80"/>
  <c r="D37" i="84"/>
  <c r="B25" i="32"/>
  <c r="I81" i="32"/>
  <c r="H82" i="32"/>
  <c r="I82" i="32" s="1"/>
  <c r="I76" i="32" l="1"/>
  <c r="F17" i="65"/>
  <c r="D17" i="65" s="1"/>
  <c r="J17" i="65" s="1"/>
  <c r="I70" i="32"/>
  <c r="H71" i="32"/>
  <c r="D91" i="23"/>
  <c r="F91" i="23" s="1"/>
  <c r="F88" i="23"/>
  <c r="J29" i="23"/>
  <c r="F29" i="23"/>
  <c r="K26" i="23"/>
  <c r="B21" i="82"/>
  <c r="J88" i="23"/>
  <c r="B21" i="84"/>
  <c r="B9" i="32"/>
  <c r="D28" i="23"/>
  <c r="J22" i="23"/>
  <c r="D103" i="23"/>
  <c r="H103" i="23" s="1"/>
  <c r="F22" i="23"/>
  <c r="D84" i="23"/>
  <c r="F21" i="84" l="1"/>
  <c r="B37" i="84"/>
  <c r="K22" i="23"/>
  <c r="J84" i="23"/>
  <c r="K88" i="23"/>
  <c r="J91" i="23"/>
  <c r="K91" i="23" s="1"/>
  <c r="I71" i="32"/>
  <c r="F19" i="69"/>
  <c r="D19" i="69" s="1"/>
  <c r="J19" i="69" s="1"/>
  <c r="F28" i="23"/>
  <c r="D30" i="23"/>
  <c r="J28" i="23"/>
  <c r="F21" i="82"/>
  <c r="B37" i="82"/>
  <c r="N21" i="84"/>
  <c r="N21" i="82"/>
  <c r="H51" i="47"/>
  <c r="K29" i="23"/>
  <c r="L8" i="57"/>
  <c r="I8" i="57"/>
  <c r="P9" i="82"/>
  <c r="P36" i="82" s="1"/>
  <c r="B30" i="32"/>
  <c r="I29" i="32"/>
  <c r="B13" i="23"/>
  <c r="B12" i="72"/>
  <c r="H12" i="72" s="1"/>
  <c r="F84" i="23"/>
  <c r="D90" i="23"/>
  <c r="C34" i="32"/>
  <c r="C19" i="32" l="1"/>
  <c r="D19" i="32" s="1"/>
  <c r="D18" i="32"/>
  <c r="H18" i="32"/>
  <c r="D104" i="23"/>
  <c r="H104" i="23" s="1"/>
  <c r="F30" i="23"/>
  <c r="P9" i="84"/>
  <c r="P36" i="84" s="1"/>
  <c r="P31" i="82"/>
  <c r="P31" i="84"/>
  <c r="P32" i="84"/>
  <c r="P32" i="82"/>
  <c r="J90" i="23"/>
  <c r="K84" i="23"/>
  <c r="B100" i="23"/>
  <c r="B16" i="23"/>
  <c r="I50" i="47" s="1"/>
  <c r="I53" i="47" s="1"/>
  <c r="B75" i="23"/>
  <c r="B78" i="23" s="1"/>
  <c r="J51" i="47"/>
  <c r="K51" i="47"/>
  <c r="M51" i="47" s="1"/>
  <c r="D92" i="23"/>
  <c r="F90" i="23"/>
  <c r="R21" i="82"/>
  <c r="H37" i="82"/>
  <c r="H34" i="32"/>
  <c r="C35" i="32"/>
  <c r="D35" i="32" s="1"/>
  <c r="D30" i="32"/>
  <c r="I30" i="32"/>
  <c r="R21" i="84"/>
  <c r="H37" i="84"/>
  <c r="K28" i="23"/>
  <c r="J30" i="23"/>
  <c r="K30" i="23" s="1"/>
  <c r="F92" i="23" l="1"/>
  <c r="J92" i="23"/>
  <c r="K92" i="23" s="1"/>
  <c r="K90" i="23"/>
  <c r="B50" i="32"/>
  <c r="B13" i="69" s="1"/>
  <c r="H13" i="69" s="1"/>
  <c r="C24" i="32"/>
  <c r="P34" i="84"/>
  <c r="I18" i="32"/>
  <c r="H19" i="32"/>
  <c r="P34" i="82"/>
  <c r="H35" i="32"/>
  <c r="I35" i="32" s="1"/>
  <c r="I34" i="32"/>
  <c r="F11" i="65" l="1"/>
  <c r="H24" i="65"/>
  <c r="I19" i="32"/>
  <c r="H23" i="66"/>
  <c r="B14" i="32"/>
  <c r="B9" i="23"/>
  <c r="C104" i="32"/>
  <c r="D13" i="23"/>
  <c r="C25" i="32"/>
  <c r="D25" i="32" s="1"/>
  <c r="H24" i="32"/>
  <c r="I24" i="32" l="1"/>
  <c r="H25" i="32"/>
  <c r="I25" i="32" s="1"/>
  <c r="L9" i="57"/>
  <c r="L10" i="57" s="1"/>
  <c r="I9" i="57"/>
  <c r="I10" i="57" s="1"/>
  <c r="H10" i="57"/>
  <c r="D16" i="23"/>
  <c r="F13" i="23"/>
  <c r="J13" i="23"/>
  <c r="D75" i="23"/>
  <c r="B99" i="23"/>
  <c r="B15" i="23"/>
  <c r="B17" i="23" s="1"/>
  <c r="B71" i="23"/>
  <c r="B77" i="23" s="1"/>
  <c r="B79" i="23" s="1"/>
  <c r="B12" i="69"/>
  <c r="H12" i="69" s="1"/>
  <c r="D11" i="65"/>
  <c r="J11" i="65" s="1"/>
  <c r="K24" i="47"/>
  <c r="K36" i="47" s="1"/>
  <c r="J24" i="65"/>
  <c r="J16" i="23" l="1"/>
  <c r="K13" i="23"/>
  <c r="J75" i="23"/>
  <c r="B9" i="82"/>
  <c r="B36" i="82" s="1"/>
  <c r="B9" i="84"/>
  <c r="B36" i="84" s="1"/>
  <c r="F16" i="23"/>
  <c r="K24" i="65"/>
  <c r="J23" i="66"/>
  <c r="K23" i="66" s="1"/>
  <c r="D78" i="23"/>
  <c r="F75" i="23"/>
  <c r="J78" i="23" l="1"/>
  <c r="K75" i="23"/>
  <c r="N9" i="82"/>
  <c r="N9" i="84"/>
  <c r="F78" i="23"/>
  <c r="H50" i="47"/>
  <c r="J50" i="47" s="1"/>
  <c r="K16" i="23"/>
  <c r="R9" i="84" l="1"/>
  <c r="R15" i="84" s="1"/>
  <c r="N31" i="84" s="1"/>
  <c r="R31" i="84" s="1"/>
  <c r="H36" i="84"/>
  <c r="R9" i="82"/>
  <c r="R15" i="82" s="1"/>
  <c r="N31" i="82" s="1"/>
  <c r="R31" i="82" s="1"/>
  <c r="H36" i="82"/>
  <c r="F104" i="32"/>
  <c r="K78" i="23"/>
  <c r="J65" i="47" l="1"/>
  <c r="D60" i="32" l="1"/>
  <c r="C61" i="32"/>
  <c r="D61" i="32" s="1"/>
  <c r="H60" i="32"/>
  <c r="C56" i="32"/>
  <c r="D56" i="32" s="1"/>
  <c r="H55" i="32"/>
  <c r="D55" i="32"/>
  <c r="H49" i="32"/>
  <c r="D49" i="32"/>
  <c r="C50" i="32"/>
  <c r="D50" i="32" s="1"/>
  <c r="D92" i="32"/>
  <c r="C45" i="32"/>
  <c r="D45" i="32" s="1"/>
  <c r="D44" i="32"/>
  <c r="H44" i="32"/>
  <c r="C94" i="32"/>
  <c r="F94" i="32" s="1"/>
  <c r="H45" i="32" l="1"/>
  <c r="I44" i="32"/>
  <c r="I55" i="32"/>
  <c r="H56" i="32"/>
  <c r="I56" i="32" s="1"/>
  <c r="C14" i="32"/>
  <c r="D14" i="32" s="1"/>
  <c r="H13" i="32"/>
  <c r="D13" i="32"/>
  <c r="I60" i="32"/>
  <c r="H61" i="32"/>
  <c r="I61" i="32" s="1"/>
  <c r="H50" i="32"/>
  <c r="I49" i="32"/>
  <c r="C9" i="32"/>
  <c r="D9" i="32" s="1"/>
  <c r="H8" i="32"/>
  <c r="D9" i="23"/>
  <c r="C91" i="32"/>
  <c r="D8" i="32"/>
  <c r="H14" i="32" l="1"/>
  <c r="I13" i="32"/>
  <c r="F96" i="23"/>
  <c r="F97" i="23" s="1"/>
  <c r="C92" i="32"/>
  <c r="F92" i="32" s="1"/>
  <c r="F91" i="32"/>
  <c r="C23" i="42" s="1"/>
  <c r="I50" i="32"/>
  <c r="F13" i="69"/>
  <c r="D13" i="69" s="1"/>
  <c r="J13" i="69" s="1"/>
  <c r="D15" i="23"/>
  <c r="F9" i="23"/>
  <c r="J9" i="23"/>
  <c r="D96" i="23"/>
  <c r="D71" i="23"/>
  <c r="I8" i="32"/>
  <c r="H9" i="32"/>
  <c r="I45" i="32"/>
  <c r="F13" i="72"/>
  <c r="D13" i="72" s="1"/>
  <c r="J13" i="72" s="1"/>
  <c r="H29" i="72" l="1"/>
  <c r="I9" i="32"/>
  <c r="F12" i="72"/>
  <c r="H39" i="73"/>
  <c r="F15" i="23"/>
  <c r="D17" i="23"/>
  <c r="F17" i="23" s="1"/>
  <c r="D77" i="23"/>
  <c r="F71" i="23"/>
  <c r="H96" i="23"/>
  <c r="D97" i="23"/>
  <c r="H97" i="23" s="1"/>
  <c r="K9" i="23"/>
  <c r="J15" i="23"/>
  <c r="J71" i="23"/>
  <c r="F12" i="69"/>
  <c r="I14" i="32"/>
  <c r="H34" i="69"/>
  <c r="H43" i="70"/>
  <c r="F77" i="23" l="1"/>
  <c r="D79" i="23"/>
  <c r="J34" i="69"/>
  <c r="D12" i="69"/>
  <c r="J12" i="69" s="1"/>
  <c r="H24" i="47"/>
  <c r="H36" i="47" s="1"/>
  <c r="K71" i="23"/>
  <c r="J77" i="23"/>
  <c r="K15" i="23"/>
  <c r="J17" i="23"/>
  <c r="K17" i="23" s="1"/>
  <c r="D12" i="72"/>
  <c r="J12" i="72" s="1"/>
  <c r="E24" i="47"/>
  <c r="E36" i="47" s="1"/>
  <c r="O71" i="47" s="1"/>
  <c r="J29" i="72"/>
  <c r="K77" i="23" l="1"/>
  <c r="N71" i="47"/>
  <c r="J79" i="23"/>
  <c r="K79" i="23" s="1"/>
  <c r="K29" i="72"/>
  <c r="J39" i="73"/>
  <c r="K39" i="73" s="1"/>
  <c r="K34" i="69"/>
  <c r="J43" i="70"/>
  <c r="K43" i="70" s="1"/>
  <c r="C22" i="42"/>
  <c r="F79" i="23"/>
  <c r="B24" i="71"/>
  <c r="B12" i="73" l="1"/>
  <c r="H19" i="50" l="1"/>
  <c r="G19" i="50"/>
  <c r="B23" i="64"/>
  <c r="C10" i="49"/>
  <c r="B15" i="71"/>
  <c r="C4" i="49"/>
  <c r="H4" i="50"/>
  <c r="G4" i="50"/>
  <c r="C6" i="49"/>
  <c r="B13" i="64"/>
  <c r="G10" i="50"/>
  <c r="H10" i="50"/>
  <c r="G6" i="50"/>
  <c r="H6" i="50"/>
  <c r="G21" i="50"/>
  <c r="H21" i="50"/>
  <c r="G25" i="50"/>
  <c r="B24" i="64" s="1"/>
  <c r="H25" i="50"/>
  <c r="B5" i="71" l="1"/>
  <c r="C8" i="49"/>
  <c r="B26" i="64"/>
  <c r="E25" i="51"/>
  <c r="E25" i="75"/>
  <c r="B14" i="64"/>
  <c r="K25" i="75"/>
  <c r="L25" i="75" s="1"/>
  <c r="G25" i="75"/>
  <c r="D24" i="64"/>
  <c r="B18" i="64"/>
  <c r="E19" i="51"/>
  <c r="B17" i="71"/>
  <c r="H23" i="50"/>
  <c r="G23" i="50"/>
  <c r="B16" i="71" s="1"/>
  <c r="E10" i="51"/>
  <c r="C10" i="59" s="1"/>
  <c r="E10" i="75"/>
  <c r="B16" i="64"/>
  <c r="B25" i="64"/>
  <c r="E21" i="51"/>
  <c r="G8" i="50"/>
  <c r="B6" i="71" s="1"/>
  <c r="H8" i="50"/>
  <c r="B15" i="64"/>
  <c r="B51" i="64" s="1"/>
  <c r="E6" i="51"/>
  <c r="C6" i="59" s="1"/>
  <c r="E4" i="51"/>
  <c r="C4" i="59" s="1"/>
  <c r="B7" i="71"/>
  <c r="D16" i="71" l="1"/>
  <c r="E8" i="51"/>
  <c r="E8" i="75"/>
  <c r="B8" i="71"/>
  <c r="K19" i="48"/>
  <c r="G19" i="48"/>
  <c r="K25" i="51"/>
  <c r="G25" i="51"/>
  <c r="D6" i="71"/>
  <c r="E10" i="59"/>
  <c r="L10" i="59" s="1"/>
  <c r="K10" i="75"/>
  <c r="L10" i="75" s="1"/>
  <c r="G10" i="75"/>
  <c r="E23" i="51"/>
  <c r="E23" i="75"/>
  <c r="B18" i="71"/>
  <c r="B33" i="71" s="1"/>
  <c r="B7" i="66"/>
  <c r="B48" i="64"/>
  <c r="G21" i="51"/>
  <c r="K21" i="51"/>
  <c r="H26" i="64"/>
  <c r="K21" i="48"/>
  <c r="G21" i="48"/>
  <c r="H15" i="64"/>
  <c r="H25" i="64"/>
  <c r="K25" i="48"/>
  <c r="L25" i="48" s="1"/>
  <c r="G25" i="48"/>
  <c r="D14" i="64"/>
  <c r="H14" i="64"/>
  <c r="G6" i="48"/>
  <c r="K6" i="48"/>
  <c r="D6" i="49"/>
  <c r="G4" i="48"/>
  <c r="K4" i="48"/>
  <c r="D4" i="49"/>
  <c r="K19" i="51"/>
  <c r="G19" i="51"/>
  <c r="H16" i="64"/>
  <c r="B10" i="71"/>
  <c r="B52" i="64"/>
  <c r="G10" i="48"/>
  <c r="D10" i="49"/>
  <c r="K10" i="48"/>
  <c r="L10" i="48" s="1"/>
  <c r="I10" i="49" l="1"/>
  <c r="J10" i="49" s="1"/>
  <c r="E10" i="49"/>
  <c r="K10" i="51"/>
  <c r="D10" i="59"/>
  <c r="G10" i="51"/>
  <c r="B11" i="66"/>
  <c r="B32" i="71"/>
  <c r="I4" i="49"/>
  <c r="E4" i="49"/>
  <c r="E6" i="49"/>
  <c r="I6" i="49"/>
  <c r="J14" i="64"/>
  <c r="D4" i="59"/>
  <c r="K4" i="51"/>
  <c r="G4" i="51"/>
  <c r="L19" i="48"/>
  <c r="L4" i="48"/>
  <c r="L6" i="48"/>
  <c r="F13" i="64"/>
  <c r="F26" i="64"/>
  <c r="D26" i="64" s="1"/>
  <c r="J26" i="64" s="1"/>
  <c r="L25" i="51"/>
  <c r="C8" i="59"/>
  <c r="B23" i="71"/>
  <c r="B6" i="73"/>
  <c r="B29" i="71"/>
  <c r="L19" i="51"/>
  <c r="F17" i="71"/>
  <c r="D17" i="71" s="1"/>
  <c r="F25" i="64"/>
  <c r="D25" i="64" s="1"/>
  <c r="J25" i="64" s="1"/>
  <c r="L21" i="51"/>
  <c r="D8" i="49"/>
  <c r="K8" i="48"/>
  <c r="L8" i="48" s="1"/>
  <c r="G8" i="48"/>
  <c r="K6" i="51"/>
  <c r="G6" i="51"/>
  <c r="D6" i="59"/>
  <c r="K23" i="48"/>
  <c r="L23" i="48" s="1"/>
  <c r="G23" i="48"/>
  <c r="L21" i="48"/>
  <c r="F23" i="64"/>
  <c r="D23" i="64" s="1"/>
  <c r="H7" i="64"/>
  <c r="J7" i="64" s="1"/>
  <c r="H33" i="64"/>
  <c r="J33" i="64" s="1"/>
  <c r="H9" i="64"/>
  <c r="J9" i="64" s="1"/>
  <c r="H8" i="64"/>
  <c r="J8" i="64" s="1"/>
  <c r="H5" i="64"/>
  <c r="J5" i="64" s="1"/>
  <c r="H42" i="64"/>
  <c r="J42" i="64" s="1"/>
  <c r="H32" i="64"/>
  <c r="J32" i="64" s="1"/>
  <c r="H39" i="64"/>
  <c r="H41" i="64"/>
  <c r="J41" i="64" s="1"/>
  <c r="H31" i="64"/>
  <c r="J31" i="64" s="1"/>
  <c r="H45" i="64"/>
  <c r="J45" i="64" s="1"/>
  <c r="H22" i="64"/>
  <c r="J22" i="64" s="1"/>
  <c r="H17" i="64"/>
  <c r="J17" i="64" s="1"/>
  <c r="L15" i="47"/>
  <c r="H40" i="64"/>
  <c r="J40" i="64" s="1"/>
  <c r="H34" i="64"/>
  <c r="J34" i="64" s="1"/>
  <c r="J36" i="64" s="1"/>
  <c r="H43" i="64"/>
  <c r="J43" i="64" s="1"/>
  <c r="H21" i="64"/>
  <c r="H6" i="64"/>
  <c r="J6" i="64" s="1"/>
  <c r="B55" i="64"/>
  <c r="H35" i="64"/>
  <c r="J35" i="64" s="1"/>
  <c r="H44" i="64"/>
  <c r="J44" i="64" s="1"/>
  <c r="H27" i="64"/>
  <c r="J27" i="64" s="1"/>
  <c r="H23" i="64"/>
  <c r="H13" i="64"/>
  <c r="H24" i="64"/>
  <c r="J24" i="64" s="1"/>
  <c r="H17" i="71" l="1"/>
  <c r="H13" i="71"/>
  <c r="H9" i="71"/>
  <c r="J9" i="71" s="1"/>
  <c r="H14" i="71"/>
  <c r="J14" i="71" s="1"/>
  <c r="B34" i="71"/>
  <c r="F15" i="47"/>
  <c r="H19" i="71"/>
  <c r="J19" i="71" s="1"/>
  <c r="H24" i="71"/>
  <c r="H15" i="71"/>
  <c r="H5" i="71"/>
  <c r="H6" i="71"/>
  <c r="J6" i="71" s="1"/>
  <c r="H16" i="71"/>
  <c r="J16" i="71" s="1"/>
  <c r="H7" i="71"/>
  <c r="F7" i="71"/>
  <c r="L4" i="51"/>
  <c r="K6" i="59"/>
  <c r="F6" i="59"/>
  <c r="G6" i="59" s="1"/>
  <c r="B8" i="73"/>
  <c r="F5" i="71"/>
  <c r="F4" i="59"/>
  <c r="G4" i="59" s="1"/>
  <c r="K4" i="59"/>
  <c r="J4" i="49"/>
  <c r="B11" i="73"/>
  <c r="B27" i="71"/>
  <c r="H23" i="71"/>
  <c r="B6" i="74"/>
  <c r="K10" i="59"/>
  <c r="M10" i="59" s="1"/>
  <c r="N10" i="59" s="1"/>
  <c r="F10" i="59"/>
  <c r="G10" i="59" s="1"/>
  <c r="J10" i="64"/>
  <c r="F15" i="64"/>
  <c r="L6" i="51"/>
  <c r="H18" i="71"/>
  <c r="B19" i="66"/>
  <c r="H11" i="66"/>
  <c r="L10" i="51"/>
  <c r="F16" i="64"/>
  <c r="D16" i="64" s="1"/>
  <c r="J16" i="64" s="1"/>
  <c r="E8" i="49"/>
  <c r="I8" i="49"/>
  <c r="J8" i="49" s="1"/>
  <c r="J17" i="71"/>
  <c r="D13" i="64"/>
  <c r="J13" i="64" s="1"/>
  <c r="K11" i="47"/>
  <c r="K37" i="47" s="1"/>
  <c r="J53" i="64"/>
  <c r="J24" i="66" s="1"/>
  <c r="F18" i="64"/>
  <c r="J6" i="49"/>
  <c r="H24" i="66"/>
  <c r="K24" i="66" s="1"/>
  <c r="H53" i="64"/>
  <c r="K53" i="64" s="1"/>
  <c r="H8" i="71"/>
  <c r="F15" i="71"/>
  <c r="D15" i="71" s="1"/>
  <c r="J15" i="71" s="1"/>
  <c r="L63" i="47"/>
  <c r="L41" i="47"/>
  <c r="J23" i="64"/>
  <c r="D8" i="59" l="1"/>
  <c r="G8" i="51"/>
  <c r="K8" i="51"/>
  <c r="H40" i="73"/>
  <c r="B17" i="73"/>
  <c r="H35" i="71"/>
  <c r="D18" i="64"/>
  <c r="F7" i="66"/>
  <c r="D7" i="66" s="1"/>
  <c r="H10" i="66"/>
  <c r="H15" i="66"/>
  <c r="H17" i="66"/>
  <c r="H14" i="66"/>
  <c r="H8" i="66"/>
  <c r="H16" i="66"/>
  <c r="H9" i="66"/>
  <c r="J9" i="66" s="1"/>
  <c r="H6" i="66"/>
  <c r="J6" i="66" s="1"/>
  <c r="H7" i="66"/>
  <c r="D15" i="64"/>
  <c r="J15" i="64" s="1"/>
  <c r="J18" i="64" s="1"/>
  <c r="J54" i="64"/>
  <c r="J25" i="66" s="1"/>
  <c r="K25" i="66" s="1"/>
  <c r="K12" i="47"/>
  <c r="K38" i="47" s="1"/>
  <c r="M6" i="59"/>
  <c r="N6" i="59" s="1"/>
  <c r="H54" i="64"/>
  <c r="H25" i="66"/>
  <c r="G8" i="75"/>
  <c r="K8" i="75"/>
  <c r="E8" i="59"/>
  <c r="K9" i="57"/>
  <c r="M9" i="57" s="1"/>
  <c r="G23" i="51"/>
  <c r="K23" i="51"/>
  <c r="F6" i="74"/>
  <c r="F8" i="74" s="1"/>
  <c r="B38" i="74"/>
  <c r="B8" i="74"/>
  <c r="F41" i="47"/>
  <c r="F63" i="47"/>
  <c r="E11" i="47"/>
  <c r="E37" i="47" s="1"/>
  <c r="D5" i="71"/>
  <c r="J5" i="71" s="1"/>
  <c r="J35" i="71"/>
  <c r="J40" i="73" s="1"/>
  <c r="C27" i="57"/>
  <c r="B15" i="73"/>
  <c r="M4" i="59"/>
  <c r="N4" i="59" s="1"/>
  <c r="K23" i="75"/>
  <c r="G23" i="75"/>
  <c r="D7" i="71"/>
  <c r="J7" i="71" s="1"/>
  <c r="L23" i="75" l="1"/>
  <c r="B34" i="73"/>
  <c r="H17" i="73" s="1"/>
  <c r="L8" i="51"/>
  <c r="F8" i="71"/>
  <c r="K35" i="71"/>
  <c r="H37" i="71"/>
  <c r="D8" i="74"/>
  <c r="L23" i="51"/>
  <c r="F18" i="71"/>
  <c r="D18" i="71" s="1"/>
  <c r="J18" i="71" s="1"/>
  <c r="H20" i="50"/>
  <c r="G20" i="50"/>
  <c r="B23" i="67"/>
  <c r="K8" i="59"/>
  <c r="F8" i="59"/>
  <c r="G8" i="59" s="1"/>
  <c r="H15" i="73"/>
  <c r="K40" i="73"/>
  <c r="J7" i="66"/>
  <c r="L8" i="59"/>
  <c r="K54" i="64"/>
  <c r="B13" i="67"/>
  <c r="C9" i="49"/>
  <c r="F50" i="47" s="1"/>
  <c r="L8" i="75"/>
  <c r="D23" i="71" l="1"/>
  <c r="E20" i="51"/>
  <c r="B25" i="67"/>
  <c r="D8" i="71"/>
  <c r="J8" i="71" s="1"/>
  <c r="J10" i="71" s="1"/>
  <c r="F10" i="71"/>
  <c r="E12" i="47"/>
  <c r="E38" i="47" s="1"/>
  <c r="J36" i="71"/>
  <c r="J41" i="73" s="1"/>
  <c r="B18" i="67"/>
  <c r="B7" i="70" s="1"/>
  <c r="L50" i="47"/>
  <c r="F53" i="47"/>
  <c r="B10" i="57"/>
  <c r="K8" i="57"/>
  <c r="M8" i="59"/>
  <c r="N8" i="59" s="1"/>
  <c r="H36" i="71"/>
  <c r="H41" i="73"/>
  <c r="G5" i="50"/>
  <c r="H5" i="50"/>
  <c r="H32" i="73"/>
  <c r="H30" i="73"/>
  <c r="H7" i="73"/>
  <c r="H21" i="73"/>
  <c r="H20" i="73"/>
  <c r="H22" i="73"/>
  <c r="H25" i="73"/>
  <c r="H12" i="73"/>
  <c r="J12" i="73" s="1"/>
  <c r="H6" i="73"/>
  <c r="H8" i="73"/>
  <c r="H11" i="73"/>
  <c r="G9" i="50" l="1"/>
  <c r="H9" i="50"/>
  <c r="B26" i="77"/>
  <c r="L53" i="47"/>
  <c r="K20" i="51"/>
  <c r="G20" i="51"/>
  <c r="K41" i="73"/>
  <c r="K20" i="48"/>
  <c r="G20" i="48"/>
  <c r="K36" i="71"/>
  <c r="J31" i="82"/>
  <c r="J32" i="82"/>
  <c r="J32" i="84"/>
  <c r="M8" i="57"/>
  <c r="D9" i="82" s="1"/>
  <c r="K10" i="57"/>
  <c r="J31" i="84"/>
  <c r="E5" i="51"/>
  <c r="B15" i="67"/>
  <c r="J9" i="82"/>
  <c r="C10" i="57"/>
  <c r="J9" i="84"/>
  <c r="C26" i="57"/>
  <c r="D9" i="84"/>
  <c r="B14" i="67"/>
  <c r="F6" i="73"/>
  <c r="D6" i="73" s="1"/>
  <c r="J6" i="73" s="1"/>
  <c r="D10" i="71"/>
  <c r="H24" i="50"/>
  <c r="G24" i="50"/>
  <c r="B24" i="67" s="1"/>
  <c r="J23" i="71"/>
  <c r="F23" i="71"/>
  <c r="K5" i="48"/>
  <c r="G5" i="48"/>
  <c r="F9" i="82" l="1"/>
  <c r="D24" i="67"/>
  <c r="J34" i="84"/>
  <c r="G24" i="48"/>
  <c r="K24" i="48"/>
  <c r="L24" i="48" s="1"/>
  <c r="D9" i="49"/>
  <c r="K9" i="48"/>
  <c r="L9" i="48" s="1"/>
  <c r="G9" i="48"/>
  <c r="F9" i="84"/>
  <c r="D31" i="82"/>
  <c r="M10" i="57"/>
  <c r="D32" i="84"/>
  <c r="D31" i="84"/>
  <c r="D32" i="82"/>
  <c r="F11" i="73"/>
  <c r="D11" i="73" s="1"/>
  <c r="J11" i="73" s="1"/>
  <c r="J37" i="71"/>
  <c r="K37" i="71" s="1"/>
  <c r="E13" i="47"/>
  <c r="L9" i="84"/>
  <c r="B16" i="67"/>
  <c r="E9" i="75"/>
  <c r="E9" i="51"/>
  <c r="D14" i="67"/>
  <c r="B72" i="67"/>
  <c r="L5" i="48"/>
  <c r="F13" i="67"/>
  <c r="B26" i="67"/>
  <c r="E24" i="75"/>
  <c r="E24" i="51"/>
  <c r="L9" i="82"/>
  <c r="J34" i="82"/>
  <c r="L20" i="48"/>
  <c r="F23" i="67"/>
  <c r="D23" i="67" s="1"/>
  <c r="L20" i="51"/>
  <c r="F25" i="67"/>
  <c r="D25" i="67" s="1"/>
  <c r="B73" i="67" l="1"/>
  <c r="D10" i="57"/>
  <c r="D12" i="82"/>
  <c r="J12" i="82"/>
  <c r="D34" i="84"/>
  <c r="E9" i="49"/>
  <c r="I9" i="49"/>
  <c r="J9" i="49" s="1"/>
  <c r="K5" i="51"/>
  <c r="G5" i="51"/>
  <c r="E32" i="75"/>
  <c r="E53" i="75" s="1"/>
  <c r="D34" i="82"/>
  <c r="D13" i="67"/>
  <c r="C9" i="59"/>
  <c r="E49" i="51"/>
  <c r="E17" i="75"/>
  <c r="E49" i="75"/>
  <c r="J13" i="82"/>
  <c r="E10" i="57"/>
  <c r="D13" i="82"/>
  <c r="F12" i="82" l="1"/>
  <c r="D12" i="84"/>
  <c r="D36" i="82"/>
  <c r="E40" i="75"/>
  <c r="E47" i="75" s="1"/>
  <c r="E52" i="75"/>
  <c r="F15" i="67"/>
  <c r="L5" i="51"/>
  <c r="J12" i="84"/>
  <c r="L12" i="82"/>
  <c r="J36" i="82"/>
  <c r="K9" i="51" l="1"/>
  <c r="G9" i="51"/>
  <c r="D9" i="59"/>
  <c r="F49" i="51"/>
  <c r="D15" i="67"/>
  <c r="L12" i="84"/>
  <c r="J36" i="84"/>
  <c r="E9" i="59"/>
  <c r="K9" i="75"/>
  <c r="G9" i="75"/>
  <c r="F17" i="75"/>
  <c r="F49" i="75"/>
  <c r="F12" i="84"/>
  <c r="D36" i="84"/>
  <c r="C47" i="42" s="1"/>
  <c r="K24" i="51"/>
  <c r="G24" i="51"/>
  <c r="K24" i="75"/>
  <c r="G24" i="75"/>
  <c r="F32" i="75"/>
  <c r="G17" i="75" l="1"/>
  <c r="F40" i="75"/>
  <c r="G49" i="51"/>
  <c r="K49" i="51"/>
  <c r="L49" i="51" s="1"/>
  <c r="K9" i="59"/>
  <c r="M9" i="59" s="1"/>
  <c r="N9" i="59" s="1"/>
  <c r="F9" i="59"/>
  <c r="G9" i="59" s="1"/>
  <c r="L9" i="75"/>
  <c r="K17" i="75"/>
  <c r="G32" i="75"/>
  <c r="L9" i="59"/>
  <c r="E14" i="59"/>
  <c r="E18" i="59" s="1"/>
  <c r="F16" i="67"/>
  <c r="L9" i="51"/>
  <c r="L24" i="75"/>
  <c r="K32" i="75"/>
  <c r="L32" i="75" s="1"/>
  <c r="F26" i="67"/>
  <c r="D26" i="67" s="1"/>
  <c r="L24" i="51"/>
  <c r="G49" i="75"/>
  <c r="K49" i="75"/>
  <c r="L49" i="75" s="1"/>
  <c r="H13" i="82" l="1"/>
  <c r="H13" i="84"/>
  <c r="G40" i="75"/>
  <c r="F47" i="75"/>
  <c r="E20" i="59"/>
  <c r="E50" i="47"/>
  <c r="L14" i="59"/>
  <c r="L18" i="59" s="1"/>
  <c r="D16" i="67"/>
  <c r="F18" i="67"/>
  <c r="K40" i="75"/>
  <c r="L17" i="75"/>
  <c r="D18" i="67" l="1"/>
  <c r="F7" i="70"/>
  <c r="D7" i="70" s="1"/>
  <c r="G50" i="47"/>
  <c r="K50" i="47"/>
  <c r="M50" i="47" s="1"/>
  <c r="E53" i="47"/>
  <c r="G53" i="47" s="1"/>
  <c r="L13" i="84"/>
  <c r="L15" i="84" s="1"/>
  <c r="H31" i="84" s="1"/>
  <c r="L31" i="84" s="1"/>
  <c r="B13" i="84"/>
  <c r="F13" i="84" s="1"/>
  <c r="F15" i="84" s="1"/>
  <c r="B31" i="84" s="1"/>
  <c r="F31" i="84" s="1"/>
  <c r="L13" i="82"/>
  <c r="L15" i="82" s="1"/>
  <c r="H31" i="82" s="1"/>
  <c r="L31" i="82" s="1"/>
  <c r="B13" i="82"/>
  <c r="F13" i="82" s="1"/>
  <c r="F15" i="82" s="1"/>
  <c r="G47" i="75"/>
  <c r="L40" i="75"/>
  <c r="K47" i="75"/>
  <c r="L20" i="59" s="1"/>
  <c r="K52" i="75" l="1"/>
  <c r="C30" i="42" s="1"/>
  <c r="L47" i="75"/>
  <c r="L52" i="75" s="1"/>
  <c r="B31" i="82"/>
  <c r="F31" i="82" s="1"/>
  <c r="F36" i="82"/>
  <c r="K65" i="47"/>
  <c r="I65" i="47"/>
  <c r="I52" i="47" l="1"/>
  <c r="L52" i="47" s="1"/>
  <c r="B6" i="55" l="1"/>
  <c r="B21" i="77"/>
  <c r="F8" i="80"/>
  <c r="E27" i="22"/>
  <c r="I27" i="22"/>
  <c r="J27" i="22" s="1"/>
  <c r="I18" i="29"/>
  <c r="B20" i="29"/>
  <c r="C18" i="29"/>
  <c r="B25" i="29"/>
  <c r="H8" i="80" l="1"/>
  <c r="C6" i="55"/>
  <c r="C7" i="55" s="1"/>
  <c r="B7" i="55"/>
  <c r="C5" i="55" s="1"/>
  <c r="L12" i="57"/>
  <c r="J15" i="33"/>
  <c r="J8" i="80" l="1"/>
  <c r="L8" i="80" s="1"/>
  <c r="B29" i="81" s="1"/>
  <c r="J7" i="80"/>
  <c r="L7" i="80" s="1"/>
  <c r="B28" i="81" s="1"/>
  <c r="H9" i="80"/>
  <c r="I57" i="47"/>
  <c r="L57" i="47" s="1"/>
  <c r="F6" i="33"/>
  <c r="J6" i="33" s="1"/>
  <c r="D30" i="22"/>
  <c r="B25" i="71"/>
  <c r="B26" i="71"/>
  <c r="B21" i="72"/>
  <c r="F7" i="33"/>
  <c r="J7" i="33" s="1"/>
  <c r="H19" i="29"/>
  <c r="D20" i="29"/>
  <c r="C20" i="29" s="1"/>
  <c r="C19" i="29"/>
  <c r="E28" i="22"/>
  <c r="I28" i="22"/>
  <c r="J28" i="22" s="1"/>
  <c r="F7" i="68"/>
  <c r="D32" i="27"/>
  <c r="H37" i="78" l="1"/>
  <c r="F18" i="76"/>
  <c r="H18" i="76"/>
  <c r="E10" i="76"/>
  <c r="H29" i="78"/>
  <c r="H17" i="76"/>
  <c r="E25" i="76"/>
  <c r="H7" i="76"/>
  <c r="H10" i="80"/>
  <c r="H11" i="80" s="1"/>
  <c r="E19" i="76"/>
  <c r="F17" i="76" s="1"/>
  <c r="F16" i="76"/>
  <c r="H16" i="76"/>
  <c r="D7" i="68"/>
  <c r="B19" i="72" s="1"/>
  <c r="B27" i="73" s="1"/>
  <c r="H27" i="73" s="1"/>
  <c r="B14" i="73"/>
  <c r="H14" i="73" s="1"/>
  <c r="J14" i="73" s="1"/>
  <c r="H26" i="71"/>
  <c r="B13" i="73"/>
  <c r="H13" i="73" s="1"/>
  <c r="J13" i="73" s="1"/>
  <c r="H25" i="71"/>
  <c r="F16" i="68"/>
  <c r="B30" i="22"/>
  <c r="F15" i="68"/>
  <c r="D33" i="27"/>
  <c r="F14" i="33"/>
  <c r="J14" i="33" s="1"/>
  <c r="J17" i="33" s="1"/>
  <c r="D21" i="72" s="1"/>
  <c r="F13" i="33"/>
  <c r="F17" i="33" s="1"/>
  <c r="H24" i="29"/>
  <c r="I24" i="29" s="1"/>
  <c r="C24" i="29"/>
  <c r="C23" i="29"/>
  <c r="H23" i="29"/>
  <c r="D25" i="29"/>
  <c r="C25" i="29" s="1"/>
  <c r="H20" i="29"/>
  <c r="I20" i="29" s="1"/>
  <c r="I19" i="29"/>
  <c r="B29" i="73"/>
  <c r="H29" i="73" s="1"/>
  <c r="H21" i="72"/>
  <c r="J21" i="72" s="1"/>
  <c r="H17" i="57"/>
  <c r="L16" i="57"/>
  <c r="L17" i="57" s="1"/>
  <c r="L24" i="57" s="1"/>
  <c r="E26" i="22"/>
  <c r="I26" i="22"/>
  <c r="F8" i="76" l="1"/>
  <c r="F7" i="76"/>
  <c r="F10" i="76" s="1"/>
  <c r="H53" i="78"/>
  <c r="J29" i="78"/>
  <c r="J28" i="78"/>
  <c r="L28" i="78" s="1"/>
  <c r="H30" i="78"/>
  <c r="H31" i="78" s="1"/>
  <c r="H32" i="78" s="1"/>
  <c r="H25" i="76"/>
  <c r="E27" i="76"/>
  <c r="F9" i="76"/>
  <c r="H9" i="76"/>
  <c r="H43" i="78"/>
  <c r="H19" i="76"/>
  <c r="I18" i="76" s="1"/>
  <c r="N41" i="78" s="1"/>
  <c r="F19" i="76"/>
  <c r="E26" i="76"/>
  <c r="H8" i="76"/>
  <c r="H6" i="78" s="1"/>
  <c r="H19" i="78"/>
  <c r="J37" i="78"/>
  <c r="H61" i="78"/>
  <c r="J36" i="78"/>
  <c r="L36" i="78" s="1"/>
  <c r="H38" i="78"/>
  <c r="H39" i="78" s="1"/>
  <c r="H40" i="78" s="1"/>
  <c r="H19" i="72"/>
  <c r="J15" i="73"/>
  <c r="H52" i="47"/>
  <c r="J26" i="22"/>
  <c r="H71" i="47"/>
  <c r="N17" i="84"/>
  <c r="N17" i="82"/>
  <c r="I23" i="29"/>
  <c r="H25" i="29"/>
  <c r="I25" i="29" s="1"/>
  <c r="F21" i="72"/>
  <c r="F29" i="73" s="1"/>
  <c r="D29" i="73" s="1"/>
  <c r="H24" i="57"/>
  <c r="J29" i="73"/>
  <c r="C39" i="42"/>
  <c r="J6" i="78" l="1"/>
  <c r="L6" i="78" s="1"/>
  <c r="H52" i="78"/>
  <c r="H7" i="78"/>
  <c r="B52" i="78"/>
  <c r="H27" i="76"/>
  <c r="H26" i="76"/>
  <c r="H28" i="76"/>
  <c r="I25" i="76" s="1"/>
  <c r="H10" i="76"/>
  <c r="J19" i="78"/>
  <c r="H67" i="78"/>
  <c r="I16" i="76"/>
  <c r="E28" i="76"/>
  <c r="F27" i="76" s="1"/>
  <c r="I17" i="76"/>
  <c r="I56" i="47"/>
  <c r="I58" i="47" s="1"/>
  <c r="J43" i="78"/>
  <c r="H13" i="78"/>
  <c r="F56" i="47" s="1"/>
  <c r="J53" i="78"/>
  <c r="R17" i="84"/>
  <c r="R27" i="84" s="1"/>
  <c r="N32" i="84" s="1"/>
  <c r="R32" i="84" s="1"/>
  <c r="R34" i="84" s="1"/>
  <c r="B17" i="84"/>
  <c r="F17" i="84" s="1"/>
  <c r="F27" i="84" s="1"/>
  <c r="B32" i="84" s="1"/>
  <c r="F32" i="84" s="1"/>
  <c r="F34" i="84" s="1"/>
  <c r="F6" i="68"/>
  <c r="D6" i="68" s="1"/>
  <c r="B18" i="72" s="1"/>
  <c r="J52" i="47"/>
  <c r="H53" i="47"/>
  <c r="J53" i="47" s="1"/>
  <c r="K52" i="47"/>
  <c r="F8" i="68"/>
  <c r="D8" i="68" s="1"/>
  <c r="B20" i="72" s="1"/>
  <c r="E24" i="22"/>
  <c r="I24" i="22"/>
  <c r="B17" i="82"/>
  <c r="F17" i="82" s="1"/>
  <c r="F27" i="82" s="1"/>
  <c r="R17" i="82"/>
  <c r="R27" i="82" s="1"/>
  <c r="N32" i="82" s="1"/>
  <c r="R32" i="82" s="1"/>
  <c r="R34" i="82" s="1"/>
  <c r="R38" i="82" s="1"/>
  <c r="L56" i="47" l="1"/>
  <c r="L58" i="47" s="1"/>
  <c r="F58" i="47"/>
  <c r="F29" i="78"/>
  <c r="B53" i="78"/>
  <c r="I27" i="76"/>
  <c r="I8" i="76"/>
  <c r="I7" i="76"/>
  <c r="I9" i="76"/>
  <c r="N17" i="78" s="1"/>
  <c r="J13" i="78"/>
  <c r="L13" i="78" s="1"/>
  <c r="H60" i="78"/>
  <c r="F60" i="78" s="1"/>
  <c r="H14" i="78"/>
  <c r="N33" i="78"/>
  <c r="B16" i="77"/>
  <c r="F25" i="76"/>
  <c r="B11" i="77"/>
  <c r="N67" i="78"/>
  <c r="P67" i="78" s="1"/>
  <c r="I19" i="76"/>
  <c r="N43" i="78"/>
  <c r="P43" i="78" s="1"/>
  <c r="I26" i="76"/>
  <c r="J7" i="78"/>
  <c r="L7" i="78" s="1"/>
  <c r="H8" i="78"/>
  <c r="H54" i="78"/>
  <c r="J54" i="78" s="1"/>
  <c r="F37" i="78"/>
  <c r="B61" i="78"/>
  <c r="F26" i="76"/>
  <c r="F52" i="78"/>
  <c r="J52" i="78"/>
  <c r="L52" i="78" s="1"/>
  <c r="B8" i="81" s="1"/>
  <c r="F37" i="82"/>
  <c r="B32" i="82"/>
  <c r="F32" i="82" s="1"/>
  <c r="F34" i="82" s="1"/>
  <c r="B26" i="73"/>
  <c r="H26" i="73" s="1"/>
  <c r="H18" i="72"/>
  <c r="F32" i="78"/>
  <c r="L32" i="78" s="1"/>
  <c r="F40" i="78"/>
  <c r="L40" i="78" s="1"/>
  <c r="J24" i="22"/>
  <c r="B28" i="73"/>
  <c r="H28" i="73" s="1"/>
  <c r="H20" i="72"/>
  <c r="M65" i="47"/>
  <c r="F14" i="68"/>
  <c r="N65" i="47"/>
  <c r="K53" i="47"/>
  <c r="M52" i="47"/>
  <c r="F11" i="80"/>
  <c r="L11" i="80" s="1"/>
  <c r="B32" i="81" s="1"/>
  <c r="B13" i="77" l="1"/>
  <c r="D21" i="81" s="1"/>
  <c r="N65" i="78"/>
  <c r="F61" i="78"/>
  <c r="L37" i="78"/>
  <c r="F28" i="76"/>
  <c r="B17" i="77"/>
  <c r="B23" i="77" s="1"/>
  <c r="B60" i="78"/>
  <c r="F53" i="78"/>
  <c r="L53" i="78" s="1"/>
  <c r="B9" i="81" s="1"/>
  <c r="L29" i="78"/>
  <c r="F54" i="78"/>
  <c r="L54" i="78" s="1"/>
  <c r="B10" i="81" s="1"/>
  <c r="N57" i="78"/>
  <c r="B12" i="77"/>
  <c r="D13" i="81" s="1"/>
  <c r="B54" i="78"/>
  <c r="H15" i="78"/>
  <c r="H62" i="78"/>
  <c r="J62" i="78" s="1"/>
  <c r="J14" i="78"/>
  <c r="L14" i="78" s="1"/>
  <c r="F62" i="78"/>
  <c r="L62" i="78" s="1"/>
  <c r="B18" i="81" s="1"/>
  <c r="I28" i="76"/>
  <c r="J60" i="78"/>
  <c r="L60" i="78" s="1"/>
  <c r="B16" i="81" s="1"/>
  <c r="J61" i="78"/>
  <c r="L61" i="78" s="1"/>
  <c r="B17" i="81" s="1"/>
  <c r="J8" i="78"/>
  <c r="H9" i="78"/>
  <c r="H55" i="78"/>
  <c r="J55" i="78" s="1"/>
  <c r="N19" i="78"/>
  <c r="P19" i="78" s="1"/>
  <c r="I10" i="76"/>
  <c r="N10" i="78"/>
  <c r="F31" i="78"/>
  <c r="L31" i="78" s="1"/>
  <c r="L33" i="78" s="1"/>
  <c r="F39" i="78"/>
  <c r="L39" i="78" s="1"/>
  <c r="L41" i="78" s="1"/>
  <c r="P41" i="78" s="1"/>
  <c r="F10" i="80"/>
  <c r="L10" i="80" s="1"/>
  <c r="B31" i="81" s="1"/>
  <c r="F8" i="78"/>
  <c r="I71" i="47"/>
  <c r="J71" i="47" s="1"/>
  <c r="M53" i="47"/>
  <c r="F38" i="82" s="1"/>
  <c r="F15" i="78"/>
  <c r="I25" i="22"/>
  <c r="E25" i="22"/>
  <c r="C30" i="22"/>
  <c r="H56" i="78" l="1"/>
  <c r="J56" i="78" s="1"/>
  <c r="J9" i="78"/>
  <c r="H63" i="78"/>
  <c r="H16" i="78"/>
  <c r="J15" i="78"/>
  <c r="B62" i="78"/>
  <c r="D23" i="81"/>
  <c r="D25" i="81" s="1"/>
  <c r="F9" i="78"/>
  <c r="B56" i="78"/>
  <c r="F16" i="78"/>
  <c r="L8" i="78"/>
  <c r="F55" i="78"/>
  <c r="L55" i="78" s="1"/>
  <c r="C4" i="28"/>
  <c r="L15" i="78"/>
  <c r="F63" i="78"/>
  <c r="P33" i="78"/>
  <c r="P45" i="78" s="1"/>
  <c r="J56" i="47" s="1"/>
  <c r="H56" i="47" s="1"/>
  <c r="E30" i="22"/>
  <c r="J25" i="22"/>
  <c r="I30" i="22"/>
  <c r="J30" i="22" s="1"/>
  <c r="C5" i="28"/>
  <c r="B55" i="78"/>
  <c r="H64" i="78" l="1"/>
  <c r="J16" i="78"/>
  <c r="J63" i="78"/>
  <c r="L63" i="78" s="1"/>
  <c r="B63" i="78"/>
  <c r="H5" i="28"/>
  <c r="I5" i="28" s="1"/>
  <c r="B11" i="81"/>
  <c r="C8" i="27"/>
  <c r="C7" i="27"/>
  <c r="C5" i="27"/>
  <c r="C9" i="27"/>
  <c r="L16" i="78"/>
  <c r="L17" i="78" s="1"/>
  <c r="P17" i="78" s="1"/>
  <c r="F64" i="78"/>
  <c r="H4" i="28"/>
  <c r="I4" i="28" s="1"/>
  <c r="I7" i="28" s="1"/>
  <c r="P73" i="78"/>
  <c r="L9" i="78"/>
  <c r="L10" i="78" s="1"/>
  <c r="P10" i="78" s="1"/>
  <c r="F56" i="78"/>
  <c r="L56" i="78" s="1"/>
  <c r="B12" i="81" s="1"/>
  <c r="B19" i="81" l="1"/>
  <c r="L64" i="78"/>
  <c r="B20" i="81" s="1"/>
  <c r="J64" i="78"/>
  <c r="B64" i="78"/>
  <c r="P21" i="78"/>
  <c r="H5" i="27"/>
  <c r="I5" i="27" s="1"/>
  <c r="H7" i="27"/>
  <c r="I7" i="27" s="1"/>
  <c r="H9" i="27"/>
  <c r="I9" i="27" s="1"/>
  <c r="H8" i="27"/>
  <c r="I8" i="27" s="1"/>
  <c r="C14" i="27"/>
  <c r="H14" i="27" s="1"/>
  <c r="I14" i="27" s="1"/>
  <c r="C18" i="27"/>
  <c r="H18" i="27" s="1"/>
  <c r="I18" i="27" s="1"/>
  <c r="D26" i="71"/>
  <c r="D20" i="72"/>
  <c r="L57" i="78"/>
  <c r="B13" i="81"/>
  <c r="F13" i="81" s="1"/>
  <c r="C16" i="27"/>
  <c r="H16" i="27" s="1"/>
  <c r="I16" i="27" s="1"/>
  <c r="C11" i="28"/>
  <c r="C10" i="28"/>
  <c r="C17" i="27"/>
  <c r="H17" i="27" s="1"/>
  <c r="I17" i="27" s="1"/>
  <c r="B15" i="74"/>
  <c r="F25" i="81" l="1"/>
  <c r="L65" i="78"/>
  <c r="P65" i="78" s="1"/>
  <c r="B21" i="81"/>
  <c r="F21" i="81" s="1"/>
  <c r="I20" i="27"/>
  <c r="C32" i="27"/>
  <c r="P72" i="78"/>
  <c r="G56" i="47"/>
  <c r="E56" i="47" s="1"/>
  <c r="C34" i="27"/>
  <c r="I11" i="27"/>
  <c r="H10" i="28"/>
  <c r="I10" i="28" s="1"/>
  <c r="C19" i="28"/>
  <c r="H11" i="28"/>
  <c r="I11" i="28" s="1"/>
  <c r="D19" i="28"/>
  <c r="C37" i="42" s="1"/>
  <c r="P57" i="78"/>
  <c r="P69" i="78" s="1"/>
  <c r="C4" i="26"/>
  <c r="H43" i="73"/>
  <c r="C5" i="26"/>
  <c r="F20" i="72"/>
  <c r="F28" i="73" s="1"/>
  <c r="D28" i="73" s="1"/>
  <c r="J28" i="73" s="1"/>
  <c r="J20" i="72"/>
  <c r="N75" i="47"/>
  <c r="C33" i="27"/>
  <c r="F26" i="71"/>
  <c r="F14" i="73" s="1"/>
  <c r="J26" i="71"/>
  <c r="C35" i="27"/>
  <c r="C36" i="42" s="1"/>
  <c r="B31" i="74"/>
  <c r="F18" i="30"/>
  <c r="F7" i="30" s="1"/>
  <c r="D31" i="74" s="1"/>
  <c r="F17" i="30"/>
  <c r="F6" i="30" s="1"/>
  <c r="D15" i="74" s="1"/>
  <c r="B14" i="74"/>
  <c r="G23" i="30"/>
  <c r="P75" i="78" l="1"/>
  <c r="C14" i="42" s="1"/>
  <c r="I13" i="28"/>
  <c r="D65" i="67" s="1"/>
  <c r="P74" i="78"/>
  <c r="D64" i="67"/>
  <c r="D25" i="69"/>
  <c r="H5" i="26"/>
  <c r="I5" i="26" s="1"/>
  <c r="H47" i="70"/>
  <c r="C10" i="26"/>
  <c r="H10" i="26" s="1"/>
  <c r="I10" i="26" s="1"/>
  <c r="H4" i="26"/>
  <c r="I4" i="26" s="1"/>
  <c r="C21" i="26"/>
  <c r="F37" i="81"/>
  <c r="E58" i="47"/>
  <c r="G58" i="47" s="1"/>
  <c r="K56" i="47"/>
  <c r="M56" i="47" s="1"/>
  <c r="H66" i="47" s="1"/>
  <c r="D25" i="71"/>
  <c r="D19" i="72"/>
  <c r="C11" i="26"/>
  <c r="H11" i="26" s="1"/>
  <c r="I11" i="26" s="1"/>
  <c r="E17" i="30"/>
  <c r="E6" i="30" s="1"/>
  <c r="D14" i="74" s="1"/>
  <c r="F14" i="74"/>
  <c r="F31" i="74"/>
  <c r="F15" i="74"/>
  <c r="B13" i="74"/>
  <c r="G27" i="30"/>
  <c r="D18" i="30"/>
  <c r="D7" i="30" s="1"/>
  <c r="D29" i="74" s="1"/>
  <c r="B29" i="74"/>
  <c r="G28" i="30"/>
  <c r="G18" i="30" s="1"/>
  <c r="G7" i="30" s="1"/>
  <c r="D26" i="69" l="1"/>
  <c r="I7" i="26"/>
  <c r="F25" i="71"/>
  <c r="F13" i="73" s="1"/>
  <c r="J25" i="71"/>
  <c r="D21" i="26"/>
  <c r="F19" i="72"/>
  <c r="F27" i="73" s="1"/>
  <c r="D27" i="73" s="1"/>
  <c r="J27" i="73" s="1"/>
  <c r="J19" i="72"/>
  <c r="D18" i="72"/>
  <c r="D24" i="71"/>
  <c r="I13" i="26"/>
  <c r="F29" i="74"/>
  <c r="F32" i="74" s="1"/>
  <c r="B32" i="74"/>
  <c r="B16" i="74"/>
  <c r="B18" i="74" s="1"/>
  <c r="B36" i="74" s="1"/>
  <c r="D17" i="30"/>
  <c r="G22" i="30"/>
  <c r="G17" i="30" s="1"/>
  <c r="G6" i="30" s="1"/>
  <c r="N74" i="47" s="1"/>
  <c r="D63" i="67" l="1"/>
  <c r="D24" i="69"/>
  <c r="F24" i="71"/>
  <c r="J24" i="71"/>
  <c r="J27" i="71" s="1"/>
  <c r="F15" i="26"/>
  <c r="C35" i="42" s="1"/>
  <c r="F18" i="72"/>
  <c r="J18" i="72"/>
  <c r="D6" i="30"/>
  <c r="D13" i="74" s="1"/>
  <c r="B6" i="25"/>
  <c r="D32" i="74"/>
  <c r="H35" i="69"/>
  <c r="F26" i="73" l="1"/>
  <c r="D26" i="73" s="1"/>
  <c r="J26" i="73" s="1"/>
  <c r="J31" i="72"/>
  <c r="E26" i="47"/>
  <c r="H31" i="72"/>
  <c r="J38" i="71"/>
  <c r="J43" i="73" s="1"/>
  <c r="K43" i="73" s="1"/>
  <c r="H38" i="71"/>
  <c r="K38" i="71" s="1"/>
  <c r="F12" i="73"/>
  <c r="F15" i="73" s="1"/>
  <c r="D15" i="73" s="1"/>
  <c r="E14" i="47"/>
  <c r="F27" i="71"/>
  <c r="D27" i="71" s="1"/>
  <c r="D23" i="69"/>
  <c r="B9" i="80"/>
  <c r="F9" i="80" s="1"/>
  <c r="L9" i="80" s="1"/>
  <c r="F6" i="25"/>
  <c r="J6" i="25" s="1"/>
  <c r="B8" i="77" s="1"/>
  <c r="F13" i="74"/>
  <c r="F16" i="74" s="1"/>
  <c r="E40" i="47" l="1"/>
  <c r="K31" i="72"/>
  <c r="B30" i="81"/>
  <c r="B33" i="81" s="1"/>
  <c r="F33" i="81" s="1"/>
  <c r="L12" i="80"/>
  <c r="P12" i="80" s="1"/>
  <c r="F18" i="74"/>
  <c r="D16" i="74"/>
  <c r="H30" i="72"/>
  <c r="J23" i="69"/>
  <c r="F23" i="69"/>
  <c r="H42" i="73" l="1"/>
  <c r="F38" i="81"/>
  <c r="F35" i="81"/>
  <c r="D17" i="72"/>
  <c r="D18" i="74"/>
  <c r="F36" i="74"/>
  <c r="H25" i="47"/>
  <c r="J35" i="69"/>
  <c r="F30" i="70"/>
  <c r="P14" i="80"/>
  <c r="C15" i="42" s="1"/>
  <c r="J57" i="47"/>
  <c r="H57" i="47" s="1"/>
  <c r="H72" i="47"/>
  <c r="D30" i="70" l="1"/>
  <c r="D36" i="74"/>
  <c r="F17" i="72"/>
  <c r="J17" i="72"/>
  <c r="J22" i="72" s="1"/>
  <c r="K35" i="69"/>
  <c r="K57" i="47"/>
  <c r="H58" i="47"/>
  <c r="J58" i="47" s="1"/>
  <c r="M57" i="47" l="1"/>
  <c r="I66" i="47" s="1"/>
  <c r="K58" i="47"/>
  <c r="F22" i="72"/>
  <c r="E25" i="47"/>
  <c r="F25" i="73"/>
  <c r="J30" i="72"/>
  <c r="M58" i="47" l="1"/>
  <c r="I72" i="47"/>
  <c r="J72" i="47" s="1"/>
  <c r="K30" i="72"/>
  <c r="J42" i="73"/>
  <c r="D25" i="73"/>
  <c r="J25" i="73" s="1"/>
  <c r="J30" i="73" s="1"/>
  <c r="F30" i="73"/>
  <c r="E39" i="47"/>
  <c r="D22" i="72"/>
  <c r="J66" i="47" l="1"/>
  <c r="F39" i="81"/>
  <c r="C44" i="42" s="1"/>
  <c r="D30" i="73"/>
  <c r="K42" i="73"/>
  <c r="B7" i="72" l="1"/>
  <c r="H7" i="72" s="1"/>
  <c r="B6" i="72" l="1"/>
  <c r="H6" i="72" s="1"/>
  <c r="C12" i="29" l="1"/>
  <c r="H12" i="29"/>
  <c r="I12" i="57" l="1"/>
  <c r="K12" i="57"/>
  <c r="M12" i="57" s="1"/>
  <c r="G26" i="57"/>
  <c r="F7" i="72"/>
  <c r="D7" i="72" s="1"/>
  <c r="J7" i="72" s="1"/>
  <c r="I12" i="29"/>
  <c r="E15" i="22" l="1"/>
  <c r="I15" i="22"/>
  <c r="H28" i="72" l="1"/>
  <c r="J15" i="22"/>
  <c r="F6" i="72"/>
  <c r="H38" i="73"/>
  <c r="E23" i="47" l="1"/>
  <c r="E35" i="47" s="1"/>
  <c r="D6" i="72"/>
  <c r="J6" i="72" s="1"/>
  <c r="J28" i="72"/>
  <c r="K28" i="72" l="1"/>
  <c r="J38" i="73"/>
  <c r="K38" i="73" s="1"/>
  <c r="H17" i="84" l="1"/>
  <c r="L17" i="84" s="1"/>
  <c r="L27" i="84" s="1"/>
  <c r="H17" i="82"/>
  <c r="L17" i="82" s="1"/>
  <c r="L27" i="82" s="1"/>
  <c r="B14" i="29"/>
  <c r="B7" i="69" s="1"/>
  <c r="H7" i="69" l="1"/>
  <c r="H32" i="82"/>
  <c r="L32" i="82" s="1"/>
  <c r="L34" i="82" s="1"/>
  <c r="L65" i="47"/>
  <c r="H32" i="84"/>
  <c r="L32" i="84" s="1"/>
  <c r="L34" i="84" s="1"/>
  <c r="L38" i="82" l="1"/>
  <c r="C46" i="42" s="1"/>
  <c r="B9" i="29"/>
  <c r="C8" i="29"/>
  <c r="I8" i="29"/>
  <c r="B64" i="67" l="1"/>
  <c r="B32" i="67"/>
  <c r="D12" i="22"/>
  <c r="I16" i="57"/>
  <c r="I17" i="57" s="1"/>
  <c r="I24" i="57" s="1"/>
  <c r="G17" i="57"/>
  <c r="B6" i="69"/>
  <c r="H6" i="69" s="1"/>
  <c r="D21" i="22"/>
  <c r="I19" i="22"/>
  <c r="J19" i="22" s="1"/>
  <c r="E19" i="22"/>
  <c r="D15" i="68"/>
  <c r="B25" i="69" s="1"/>
  <c r="B27" i="29"/>
  <c r="C9" i="29"/>
  <c r="I9" i="29"/>
  <c r="B21" i="22"/>
  <c r="B12" i="22"/>
  <c r="C13" i="29" l="1"/>
  <c r="H13" i="29"/>
  <c r="D14" i="29"/>
  <c r="E18" i="22"/>
  <c r="I18" i="22"/>
  <c r="B40" i="22"/>
  <c r="F25" i="69"/>
  <c r="F32" i="70" s="1"/>
  <c r="B32" i="70"/>
  <c r="H25" i="69"/>
  <c r="J25" i="69" s="1"/>
  <c r="G27" i="57"/>
  <c r="G24" i="57"/>
  <c r="B65" i="67"/>
  <c r="D16" i="68"/>
  <c r="B26" i="69" s="1"/>
  <c r="B17" i="70"/>
  <c r="F64" i="67"/>
  <c r="F17" i="70" s="1"/>
  <c r="D40" i="22"/>
  <c r="D32" i="70" l="1"/>
  <c r="I13" i="29"/>
  <c r="H14" i="29"/>
  <c r="J18" i="22"/>
  <c r="D17" i="70"/>
  <c r="B63" i="67"/>
  <c r="D14" i="68"/>
  <c r="B24" i="69" s="1"/>
  <c r="F26" i="69"/>
  <c r="F33" i="70" s="1"/>
  <c r="H26" i="69"/>
  <c r="J26" i="69" s="1"/>
  <c r="B33" i="70"/>
  <c r="F65" i="67"/>
  <c r="F18" i="70" s="1"/>
  <c r="B18" i="70"/>
  <c r="C14" i="29"/>
  <c r="D27" i="29"/>
  <c r="D33" i="70" l="1"/>
  <c r="C27" i="29"/>
  <c r="D18" i="70"/>
  <c r="E38" i="48"/>
  <c r="B31" i="70"/>
  <c r="F24" i="69"/>
  <c r="H24" i="69"/>
  <c r="J24" i="69" s="1"/>
  <c r="J27" i="69" s="1"/>
  <c r="H27" i="29"/>
  <c r="I14" i="29"/>
  <c r="F7" i="69"/>
  <c r="D7" i="69" s="1"/>
  <c r="J7" i="69" s="1"/>
  <c r="F63" i="67"/>
  <c r="B16" i="70"/>
  <c r="I9" i="22" l="1"/>
  <c r="E9" i="22"/>
  <c r="C12" i="22"/>
  <c r="H26" i="47"/>
  <c r="F31" i="70"/>
  <c r="H36" i="69"/>
  <c r="J36" i="69"/>
  <c r="F27" i="69"/>
  <c r="D27" i="69" s="1"/>
  <c r="B33" i="67"/>
  <c r="E32" i="48"/>
  <c r="B5" i="67"/>
  <c r="C5" i="49"/>
  <c r="C14" i="49" s="1"/>
  <c r="E17" i="48"/>
  <c r="J77" i="67"/>
  <c r="H14" i="47"/>
  <c r="H40" i="47" s="1"/>
  <c r="O75" i="47" s="1"/>
  <c r="H77" i="67"/>
  <c r="F16" i="70"/>
  <c r="D16" i="70" s="1"/>
  <c r="G34" i="50"/>
  <c r="G38" i="50" s="1"/>
  <c r="H34" i="50"/>
  <c r="E38" i="50"/>
  <c r="G27" i="50"/>
  <c r="E32" i="50"/>
  <c r="H27" i="50"/>
  <c r="H29" i="29"/>
  <c r="C34" i="42" s="1"/>
  <c r="I27" i="29"/>
  <c r="I29" i="29" s="1"/>
  <c r="K16" i="57"/>
  <c r="B17" i="57"/>
  <c r="B24" i="57" s="1"/>
  <c r="E17" i="50"/>
  <c r="H12" i="50"/>
  <c r="G12" i="50"/>
  <c r="K77" i="67" l="1"/>
  <c r="K36" i="69"/>
  <c r="J47" i="70"/>
  <c r="K47" i="70" s="1"/>
  <c r="B6" i="67"/>
  <c r="G17" i="50"/>
  <c r="E40" i="50"/>
  <c r="E47" i="50" s="1"/>
  <c r="C17" i="57"/>
  <c r="C24" i="57" s="1"/>
  <c r="C29" i="57"/>
  <c r="D31" i="70"/>
  <c r="F34" i="70"/>
  <c r="D34" i="70" s="1"/>
  <c r="F32" i="67"/>
  <c r="J9" i="22"/>
  <c r="H72" i="67"/>
  <c r="I12" i="22"/>
  <c r="B30" i="57"/>
  <c r="B35" i="67"/>
  <c r="E27" i="51"/>
  <c r="E32" i="51" s="1"/>
  <c r="H32" i="50"/>
  <c r="H38" i="50"/>
  <c r="E34" i="51"/>
  <c r="E38" i="51" s="1"/>
  <c r="E40" i="48"/>
  <c r="M16" i="57"/>
  <c r="M17" i="57" s="1"/>
  <c r="M24" i="57" s="1"/>
  <c r="K17" i="57"/>
  <c r="K24" i="57" s="1"/>
  <c r="E16" i="22"/>
  <c r="I16" i="22"/>
  <c r="H42" i="70" s="1"/>
  <c r="C21" i="22"/>
  <c r="E21" i="22" s="1"/>
  <c r="D17" i="57"/>
  <c r="D24" i="57" s="1"/>
  <c r="B34" i="67"/>
  <c r="G32" i="50"/>
  <c r="E17" i="57"/>
  <c r="E24" i="57" s="1"/>
  <c r="B10" i="67"/>
  <c r="B7" i="67"/>
  <c r="E12" i="51"/>
  <c r="H17" i="50"/>
  <c r="E12" i="22"/>
  <c r="C40" i="22"/>
  <c r="C16" i="49" l="1"/>
  <c r="H40" i="50"/>
  <c r="B71" i="67"/>
  <c r="E54" i="51"/>
  <c r="J12" i="22"/>
  <c r="D34" i="67"/>
  <c r="C5" i="59"/>
  <c r="C14" i="59" s="1"/>
  <c r="C18" i="59" s="1"/>
  <c r="E17" i="51"/>
  <c r="B6" i="70"/>
  <c r="B68" i="67"/>
  <c r="B62" i="67"/>
  <c r="J16" i="22"/>
  <c r="H33" i="69"/>
  <c r="F6" i="69"/>
  <c r="I21" i="22"/>
  <c r="J21" i="22" s="1"/>
  <c r="E40" i="22"/>
  <c r="E53" i="51"/>
  <c r="G40" i="50"/>
  <c r="D30" i="57" s="1"/>
  <c r="H35" i="67"/>
  <c r="D32" i="67"/>
  <c r="J72" i="67"/>
  <c r="H9" i="47"/>
  <c r="B74" i="67"/>
  <c r="H6" i="67"/>
  <c r="D6" i="67"/>
  <c r="J6" i="67" s="1"/>
  <c r="B22" i="74" l="1"/>
  <c r="B66" i="67"/>
  <c r="B15" i="70"/>
  <c r="H62" i="67"/>
  <c r="D5" i="49"/>
  <c r="F17" i="48"/>
  <c r="G12" i="48"/>
  <c r="K12" i="48"/>
  <c r="J33" i="69"/>
  <c r="K33" i="69" s="1"/>
  <c r="H23" i="47"/>
  <c r="H35" i="47" s="1"/>
  <c r="O70" i="47" s="1"/>
  <c r="D6" i="69"/>
  <c r="J6" i="69" s="1"/>
  <c r="H46" i="67"/>
  <c r="J46" i="67" s="1"/>
  <c r="H13" i="67"/>
  <c r="J13" i="67" s="1"/>
  <c r="H25" i="67"/>
  <c r="J25" i="67" s="1"/>
  <c r="H48" i="67"/>
  <c r="J48" i="67" s="1"/>
  <c r="B77" i="67"/>
  <c r="H23" i="67"/>
  <c r="J23" i="67" s="1"/>
  <c r="H16" i="67"/>
  <c r="J16" i="67" s="1"/>
  <c r="H45" i="67"/>
  <c r="J45" i="67" s="1"/>
  <c r="H56" i="67"/>
  <c r="J56" i="67" s="1"/>
  <c r="H9" i="67"/>
  <c r="J9" i="67" s="1"/>
  <c r="H26" i="67"/>
  <c r="J26" i="67" s="1"/>
  <c r="H55" i="67"/>
  <c r="J55" i="67" s="1"/>
  <c r="H8" i="67"/>
  <c r="J8" i="67" s="1"/>
  <c r="H24" i="67"/>
  <c r="J24" i="67" s="1"/>
  <c r="H44" i="67"/>
  <c r="J44" i="67" s="1"/>
  <c r="H27" i="67"/>
  <c r="J27" i="67" s="1"/>
  <c r="I15" i="47"/>
  <c r="H36" i="67"/>
  <c r="J36" i="67" s="1"/>
  <c r="H52" i="67"/>
  <c r="H54" i="67"/>
  <c r="J54" i="67" s="1"/>
  <c r="H14" i="67"/>
  <c r="J14" i="67" s="1"/>
  <c r="H47" i="67"/>
  <c r="J47" i="67" s="1"/>
  <c r="H22" i="67"/>
  <c r="J22" i="67" s="1"/>
  <c r="H15" i="67"/>
  <c r="J15" i="67" s="1"/>
  <c r="H53" i="67"/>
  <c r="J53" i="67" s="1"/>
  <c r="H58" i="67"/>
  <c r="J58" i="67" s="1"/>
  <c r="H21" i="67"/>
  <c r="H31" i="67"/>
  <c r="H17" i="67"/>
  <c r="J17" i="67" s="1"/>
  <c r="H57" i="67"/>
  <c r="J57" i="67" s="1"/>
  <c r="H37" i="67"/>
  <c r="J37" i="67" s="1"/>
  <c r="H32" i="67"/>
  <c r="J32" i="67" s="1"/>
  <c r="H64" i="67"/>
  <c r="J64" i="67" s="1"/>
  <c r="H65" i="67"/>
  <c r="J65" i="67" s="1"/>
  <c r="H63" i="67"/>
  <c r="J63" i="67" s="1"/>
  <c r="H5" i="67"/>
  <c r="H33" i="67"/>
  <c r="K34" i="48"/>
  <c r="G34" i="48"/>
  <c r="F38" i="48"/>
  <c r="K72" i="67"/>
  <c r="J42" i="70"/>
  <c r="K42" i="70" s="1"/>
  <c r="B12" i="70"/>
  <c r="I40" i="22"/>
  <c r="K27" i="48"/>
  <c r="G27" i="48"/>
  <c r="F32" i="48"/>
  <c r="H34" i="67"/>
  <c r="H7" i="67"/>
  <c r="E30" i="57"/>
  <c r="C45" i="42" s="1"/>
  <c r="H47" i="50"/>
  <c r="G47" i="50"/>
  <c r="J34" i="67"/>
  <c r="E52" i="51"/>
  <c r="E40" i="51"/>
  <c r="E47" i="51" s="1"/>
  <c r="E56" i="51" s="1"/>
  <c r="C31" i="42" l="1"/>
  <c r="J49" i="67"/>
  <c r="J18" i="67"/>
  <c r="I5" i="49"/>
  <c r="E5" i="49"/>
  <c r="D14" i="49"/>
  <c r="F38" i="51"/>
  <c r="G38" i="51" s="1"/>
  <c r="K34" i="51"/>
  <c r="G34" i="51"/>
  <c r="K12" i="51"/>
  <c r="G12" i="51"/>
  <c r="D5" i="59"/>
  <c r="F17" i="51"/>
  <c r="K38" i="48"/>
  <c r="L38" i="48" s="1"/>
  <c r="L34" i="48"/>
  <c r="C20" i="59"/>
  <c r="G32" i="48"/>
  <c r="I43" i="22"/>
  <c r="N70" i="47"/>
  <c r="J40" i="22"/>
  <c r="J43" i="22" s="1"/>
  <c r="C21" i="42" s="1"/>
  <c r="B21" i="70"/>
  <c r="K32" i="48"/>
  <c r="L32" i="48" s="1"/>
  <c r="F33" i="67"/>
  <c r="D33" i="67" s="1"/>
  <c r="J33" i="67" s="1"/>
  <c r="L27" i="48"/>
  <c r="I63" i="47"/>
  <c r="I41" i="47"/>
  <c r="K27" i="51"/>
  <c r="F32" i="51"/>
  <c r="G27" i="51"/>
  <c r="F5" i="67"/>
  <c r="L12" i="48"/>
  <c r="K17" i="48"/>
  <c r="B19" i="70"/>
  <c r="F19" i="37"/>
  <c r="G38" i="48"/>
  <c r="F40" i="48"/>
  <c r="G17" i="48"/>
  <c r="B24" i="74"/>
  <c r="B34" i="74" s="1"/>
  <c r="B37" i="74" s="1"/>
  <c r="F22" i="74"/>
  <c r="F24" i="74" s="1"/>
  <c r="D38" i="74"/>
  <c r="C94" i="21" l="1"/>
  <c r="J19" i="37"/>
  <c r="F21" i="37"/>
  <c r="L17" i="48"/>
  <c r="K40" i="48"/>
  <c r="L40" i="48" s="1"/>
  <c r="F13" i="37"/>
  <c r="F7" i="37"/>
  <c r="D5" i="67"/>
  <c r="J5" i="67" s="1"/>
  <c r="J74" i="67"/>
  <c r="J44" i="70" s="1"/>
  <c r="H11" i="47"/>
  <c r="H37" i="47" s="1"/>
  <c r="O72" i="47" s="1"/>
  <c r="G32" i="51"/>
  <c r="G17" i="51"/>
  <c r="F40" i="51"/>
  <c r="K38" i="51"/>
  <c r="L38" i="51" s="1"/>
  <c r="L34" i="51"/>
  <c r="D16" i="49"/>
  <c r="E14" i="49"/>
  <c r="H76" i="67"/>
  <c r="D24" i="74"/>
  <c r="F34" i="74"/>
  <c r="K32" i="51"/>
  <c r="L32" i="51" s="1"/>
  <c r="F35" i="67"/>
  <c r="D35" i="67" s="1"/>
  <c r="J35" i="67" s="1"/>
  <c r="L27" i="51"/>
  <c r="K5" i="59"/>
  <c r="F5" i="59"/>
  <c r="D14" i="59"/>
  <c r="D18" i="59" s="1"/>
  <c r="F18" i="59" s="1"/>
  <c r="G18" i="59" s="1"/>
  <c r="B38" i="70"/>
  <c r="H19" i="70" s="1"/>
  <c r="H74" i="67"/>
  <c r="K74" i="67" s="1"/>
  <c r="H44" i="70"/>
  <c r="K44" i="70" s="1"/>
  <c r="J5" i="49"/>
  <c r="I14" i="49"/>
  <c r="F7" i="67"/>
  <c r="L12" i="51"/>
  <c r="K17" i="51"/>
  <c r="C27" i="42"/>
  <c r="G40" i="48"/>
  <c r="D7" i="67" l="1"/>
  <c r="J7" i="67" s="1"/>
  <c r="J10" i="67" s="1"/>
  <c r="J75" i="67"/>
  <c r="J45" i="70" s="1"/>
  <c r="H12" i="47"/>
  <c r="H38" i="47" s="1"/>
  <c r="O73" i="47" s="1"/>
  <c r="H46" i="70"/>
  <c r="C91" i="21"/>
  <c r="F25" i="37"/>
  <c r="D25" i="37" s="1"/>
  <c r="J7" i="37"/>
  <c r="F9" i="37"/>
  <c r="I16" i="49"/>
  <c r="C26" i="42" s="1"/>
  <c r="J14" i="49"/>
  <c r="J16" i="49" s="1"/>
  <c r="N72" i="47"/>
  <c r="F15" i="37"/>
  <c r="J13" i="37"/>
  <c r="G5" i="59"/>
  <c r="F14" i="59"/>
  <c r="G14" i="59" s="1"/>
  <c r="K19" i="37"/>
  <c r="J21" i="37"/>
  <c r="L17" i="51"/>
  <c r="K40" i="51"/>
  <c r="H45" i="70"/>
  <c r="K45" i="70" s="1"/>
  <c r="M5" i="59"/>
  <c r="H75" i="67"/>
  <c r="K75" i="67" s="1"/>
  <c r="K14" i="59"/>
  <c r="D34" i="74"/>
  <c r="F37" i="74"/>
  <c r="G40" i="51"/>
  <c r="F47" i="51"/>
  <c r="C94" i="62"/>
  <c r="C94" i="63"/>
  <c r="O94" i="21" s="1"/>
  <c r="J94" i="21"/>
  <c r="F94" i="21"/>
  <c r="K94" i="21" s="1"/>
  <c r="H21" i="70"/>
  <c r="H8" i="70"/>
  <c r="H30" i="70"/>
  <c r="J30" i="70" s="1"/>
  <c r="H11" i="70"/>
  <c r="H36" i="70"/>
  <c r="H25" i="70"/>
  <c r="H9" i="70"/>
  <c r="H7" i="70"/>
  <c r="J7" i="70" s="1"/>
  <c r="H10" i="70"/>
  <c r="J10" i="70" s="1"/>
  <c r="H26" i="70"/>
  <c r="H27" i="70"/>
  <c r="H24" i="70"/>
  <c r="H34" i="70"/>
  <c r="H17" i="70"/>
  <c r="J17" i="70" s="1"/>
  <c r="H32" i="70"/>
  <c r="J32" i="70" s="1"/>
  <c r="H18" i="70"/>
  <c r="J18" i="70" s="1"/>
  <c r="H33" i="70"/>
  <c r="J33" i="70" s="1"/>
  <c r="H31" i="70"/>
  <c r="J31" i="70" s="1"/>
  <c r="H16" i="70"/>
  <c r="J16" i="70" s="1"/>
  <c r="H6" i="70"/>
  <c r="H15" i="70"/>
  <c r="H12" i="70"/>
  <c r="D62" i="67"/>
  <c r="F10" i="67"/>
  <c r="K21" i="37" l="1"/>
  <c r="D10" i="67"/>
  <c r="F6" i="70"/>
  <c r="D37" i="74"/>
  <c r="C33" i="42" s="1"/>
  <c r="F27" i="37"/>
  <c r="D27" i="37" s="1"/>
  <c r="K7" i="37"/>
  <c r="J25" i="37"/>
  <c r="K25" i="37" s="1"/>
  <c r="J9" i="37"/>
  <c r="J62" i="67"/>
  <c r="J66" i="67" s="1"/>
  <c r="F62" i="67"/>
  <c r="J111" i="21"/>
  <c r="N73" i="47"/>
  <c r="K18" i="59"/>
  <c r="K47" i="51"/>
  <c r="L40" i="51"/>
  <c r="K13" i="37"/>
  <c r="J15" i="37"/>
  <c r="C91" i="62"/>
  <c r="J91" i="21"/>
  <c r="C91" i="63"/>
  <c r="F91" i="21"/>
  <c r="K91" i="21" s="1"/>
  <c r="J94" i="63"/>
  <c r="J111" i="63" s="1"/>
  <c r="F94" i="63"/>
  <c r="K94" i="63" s="1"/>
  <c r="J34" i="70"/>
  <c r="F94" i="62"/>
  <c r="K94" i="62" s="1"/>
  <c r="J94" i="62"/>
  <c r="J111" i="62" s="1"/>
  <c r="D20" i="59"/>
  <c r="G47" i="51"/>
  <c r="N5" i="59"/>
  <c r="M14" i="59"/>
  <c r="N14" i="59" s="1"/>
  <c r="J91" i="63" l="1"/>
  <c r="F91" i="63"/>
  <c r="K91" i="63" s="1"/>
  <c r="J27" i="37"/>
  <c r="K27" i="37" s="1"/>
  <c r="K9" i="37"/>
  <c r="J100" i="21"/>
  <c r="J108" i="21"/>
  <c r="J106" i="21"/>
  <c r="J101" i="21"/>
  <c r="J99" i="21"/>
  <c r="J102" i="21"/>
  <c r="J107" i="21"/>
  <c r="Q94" i="21"/>
  <c r="K111" i="63"/>
  <c r="F5" i="65"/>
  <c r="J115" i="63"/>
  <c r="F91" i="62"/>
  <c r="K91" i="62" s="1"/>
  <c r="J91" i="62"/>
  <c r="K111" i="21"/>
  <c r="Q111" i="21"/>
  <c r="J115" i="21"/>
  <c r="J115" i="62"/>
  <c r="K111" i="62"/>
  <c r="F66" i="67"/>
  <c r="D66" i="67" s="1"/>
  <c r="H13" i="47"/>
  <c r="H39" i="47" s="1"/>
  <c r="O74" i="47" s="1"/>
  <c r="F15" i="70"/>
  <c r="J76" i="67"/>
  <c r="D6" i="70"/>
  <c r="J6" i="70" s="1"/>
  <c r="K52" i="51"/>
  <c r="L47" i="51"/>
  <c r="L52" i="51" s="1"/>
  <c r="C29" i="42" s="1"/>
  <c r="K15" i="37"/>
  <c r="K20" i="59"/>
  <c r="C28" i="42" s="1"/>
  <c r="M18" i="59"/>
  <c r="N18" i="59" s="1"/>
  <c r="O91" i="21"/>
  <c r="Q91" i="21" l="1"/>
  <c r="K100" i="21"/>
  <c r="C20" i="42"/>
  <c r="K107" i="21"/>
  <c r="H37" i="73"/>
  <c r="K102" i="21"/>
  <c r="F7" i="65"/>
  <c r="D5" i="65"/>
  <c r="J5" i="65" s="1"/>
  <c r="J7" i="65" s="1"/>
  <c r="H41" i="70"/>
  <c r="K99" i="21"/>
  <c r="J103" i="21"/>
  <c r="J46" i="70"/>
  <c r="K46" i="70" s="1"/>
  <c r="K76" i="67"/>
  <c r="J99" i="62"/>
  <c r="J102" i="62"/>
  <c r="J101" i="62"/>
  <c r="J107" i="62"/>
  <c r="J106" i="62"/>
  <c r="J108" i="62"/>
  <c r="J100" i="62"/>
  <c r="K101" i="21"/>
  <c r="H21" i="66"/>
  <c r="F19" i="70"/>
  <c r="D19" i="70" s="1"/>
  <c r="D15" i="70"/>
  <c r="J15" i="70" s="1"/>
  <c r="J19" i="70" s="1"/>
  <c r="K106" i="21"/>
  <c r="J109" i="21"/>
  <c r="J99" i="63"/>
  <c r="Q99" i="21" s="1"/>
  <c r="J106" i="63"/>
  <c r="Q106" i="21" s="1"/>
  <c r="J108" i="63"/>
  <c r="J101" i="63"/>
  <c r="J107" i="63"/>
  <c r="J102" i="63"/>
  <c r="J100" i="63"/>
  <c r="K108" i="21"/>
  <c r="Q108" i="21" l="1"/>
  <c r="Q101" i="21"/>
  <c r="F13" i="71"/>
  <c r="K106" i="62"/>
  <c r="J109" i="62"/>
  <c r="K109" i="62" s="1"/>
  <c r="H32" i="71"/>
  <c r="K100" i="63"/>
  <c r="F17" i="69"/>
  <c r="K107" i="62"/>
  <c r="F21" i="67"/>
  <c r="F14" i="66"/>
  <c r="D7" i="65"/>
  <c r="F5" i="72"/>
  <c r="K102" i="63"/>
  <c r="H27" i="72"/>
  <c r="F39" i="64"/>
  <c r="K101" i="62"/>
  <c r="H50" i="64"/>
  <c r="K103" i="21"/>
  <c r="N69" i="47"/>
  <c r="N76" i="47" s="1"/>
  <c r="J114" i="21"/>
  <c r="Q100" i="21"/>
  <c r="F11" i="69"/>
  <c r="K107" i="63"/>
  <c r="H26" i="66"/>
  <c r="F15" i="65"/>
  <c r="K101" i="63"/>
  <c r="H22" i="65"/>
  <c r="J103" i="62"/>
  <c r="H71" i="67"/>
  <c r="K99" i="62"/>
  <c r="F31" i="67"/>
  <c r="H48" i="70"/>
  <c r="Q102" i="21"/>
  <c r="F10" i="65"/>
  <c r="K108" i="63"/>
  <c r="F11" i="72"/>
  <c r="K106" i="63"/>
  <c r="J109" i="63"/>
  <c r="K109" i="63" s="1"/>
  <c r="K109" i="21"/>
  <c r="F52" i="67"/>
  <c r="K100" i="62"/>
  <c r="H44" i="73"/>
  <c r="J103" i="63"/>
  <c r="F5" i="69"/>
  <c r="K99" i="63"/>
  <c r="H32" i="69"/>
  <c r="F21" i="64"/>
  <c r="K108" i="62"/>
  <c r="Q107" i="21"/>
  <c r="K103" i="62" l="1"/>
  <c r="J114" i="62"/>
  <c r="C19" i="42" s="1"/>
  <c r="H55" i="64"/>
  <c r="H39" i="71"/>
  <c r="D52" i="67"/>
  <c r="J52" i="67" s="1"/>
  <c r="J59" i="67" s="1"/>
  <c r="F59" i="67"/>
  <c r="D10" i="65"/>
  <c r="J10" i="65" s="1"/>
  <c r="J12" i="65" s="1"/>
  <c r="F12" i="65"/>
  <c r="K22" i="47"/>
  <c r="K27" i="47" s="1"/>
  <c r="M27" i="47" s="1"/>
  <c r="J22" i="65"/>
  <c r="J25" i="65" s="1"/>
  <c r="D39" i="64"/>
  <c r="J39" i="64" s="1"/>
  <c r="J46" i="64" s="1"/>
  <c r="F46" i="64"/>
  <c r="J50" i="64"/>
  <c r="K8" i="47"/>
  <c r="D21" i="64"/>
  <c r="J21" i="64" s="1"/>
  <c r="J28" i="64" s="1"/>
  <c r="F28" i="64"/>
  <c r="H37" i="69"/>
  <c r="H25" i="65"/>
  <c r="K25" i="65" s="1"/>
  <c r="K22" i="65"/>
  <c r="F14" i="69"/>
  <c r="D11" i="69"/>
  <c r="J11" i="69" s="1"/>
  <c r="J14" i="69" s="1"/>
  <c r="H32" i="72"/>
  <c r="D21" i="67"/>
  <c r="J21" i="67" s="1"/>
  <c r="J28" i="67" s="1"/>
  <c r="F28" i="67"/>
  <c r="H8" i="47"/>
  <c r="J71" i="67"/>
  <c r="J32" i="71"/>
  <c r="K32" i="71" s="1"/>
  <c r="D13" i="71"/>
  <c r="J13" i="71" s="1"/>
  <c r="J20" i="71" s="1"/>
  <c r="J29" i="71" s="1"/>
  <c r="F20" i="71"/>
  <c r="E8" i="47"/>
  <c r="Q109" i="21"/>
  <c r="F14" i="72"/>
  <c r="D11" i="72"/>
  <c r="J11" i="72" s="1"/>
  <c r="J14" i="72" s="1"/>
  <c r="D5" i="69"/>
  <c r="J5" i="69" s="1"/>
  <c r="J8" i="69" s="1"/>
  <c r="J32" i="69"/>
  <c r="J37" i="69" s="1"/>
  <c r="K37" i="69" s="1"/>
  <c r="H22" i="47"/>
  <c r="H27" i="47" s="1"/>
  <c r="F8" i="69"/>
  <c r="D31" i="67"/>
  <c r="J31" i="67" s="1"/>
  <c r="J38" i="67" s="1"/>
  <c r="F38" i="67"/>
  <c r="F9" i="70" s="1"/>
  <c r="D9" i="70" s="1"/>
  <c r="J9" i="70" s="1"/>
  <c r="D15" i="65"/>
  <c r="J15" i="65" s="1"/>
  <c r="J18" i="65" s="1"/>
  <c r="F18" i="65"/>
  <c r="F8" i="72"/>
  <c r="J27" i="72"/>
  <c r="J32" i="72" s="1"/>
  <c r="K32" i="72" s="1"/>
  <c r="E22" i="47"/>
  <c r="E27" i="47" s="1"/>
  <c r="D5" i="72"/>
  <c r="J5" i="72" s="1"/>
  <c r="J8" i="72" s="1"/>
  <c r="J24" i="72" s="1"/>
  <c r="D14" i="66"/>
  <c r="J14" i="66" s="1"/>
  <c r="F20" i="69"/>
  <c r="D17" i="69"/>
  <c r="J17" i="69" s="1"/>
  <c r="J20" i="69" s="1"/>
  <c r="K103" i="63"/>
  <c r="J114" i="63"/>
  <c r="C18" i="42" s="1"/>
  <c r="H78" i="67"/>
  <c r="K71" i="67"/>
  <c r="Q103" i="21"/>
  <c r="J48" i="64" l="1"/>
  <c r="C17" i="42"/>
  <c r="D8" i="72"/>
  <c r="F20" i="73"/>
  <c r="F24" i="72"/>
  <c r="E64" i="47" s="1"/>
  <c r="F16" i="66"/>
  <c r="D16" i="66" s="1"/>
  <c r="J16" i="66" s="1"/>
  <c r="D18" i="65"/>
  <c r="E34" i="47"/>
  <c r="E15" i="47"/>
  <c r="F8" i="70"/>
  <c r="D28" i="67"/>
  <c r="F68" i="67"/>
  <c r="F24" i="70"/>
  <c r="D8" i="69"/>
  <c r="F29" i="69"/>
  <c r="F29" i="71"/>
  <c r="F7" i="73"/>
  <c r="D20" i="71"/>
  <c r="J68" i="67"/>
  <c r="K27" i="72"/>
  <c r="C7" i="42" s="1"/>
  <c r="J27" i="47"/>
  <c r="H64" i="47"/>
  <c r="K32" i="69"/>
  <c r="C10" i="42" s="1"/>
  <c r="J39" i="71"/>
  <c r="K39" i="71" s="1"/>
  <c r="C6" i="42" s="1"/>
  <c r="J37" i="73"/>
  <c r="D28" i="64"/>
  <c r="F8" i="66"/>
  <c r="F48" i="64"/>
  <c r="F11" i="70"/>
  <c r="D11" i="70" s="1"/>
  <c r="J11" i="70" s="1"/>
  <c r="D59" i="67"/>
  <c r="J29" i="69"/>
  <c r="F15" i="66"/>
  <c r="D12" i="65"/>
  <c r="F20" i="65"/>
  <c r="K64" i="47" s="1"/>
  <c r="F25" i="70"/>
  <c r="D25" i="70" s="1"/>
  <c r="J25" i="70" s="1"/>
  <c r="D14" i="69"/>
  <c r="K34" i="47"/>
  <c r="K41" i="47" s="1"/>
  <c r="M41" i="47" s="1"/>
  <c r="K15" i="47"/>
  <c r="J20" i="65"/>
  <c r="H60" i="47"/>
  <c r="G27" i="47"/>
  <c r="F21" i="73"/>
  <c r="D21" i="73" s="1"/>
  <c r="J21" i="73" s="1"/>
  <c r="D14" i="72"/>
  <c r="J78" i="67"/>
  <c r="K78" i="67" s="1"/>
  <c r="C9" i="42" s="1"/>
  <c r="J41" i="70"/>
  <c r="J21" i="66"/>
  <c r="J55" i="64"/>
  <c r="K55" i="64" s="1"/>
  <c r="F10" i="66"/>
  <c r="D10" i="66" s="1"/>
  <c r="J10" i="66" s="1"/>
  <c r="D46" i="64"/>
  <c r="F26" i="70"/>
  <c r="D26" i="70" s="1"/>
  <c r="J26" i="70" s="1"/>
  <c r="D20" i="69"/>
  <c r="H15" i="47"/>
  <c r="H34" i="47"/>
  <c r="H41" i="47" s="1"/>
  <c r="J41" i="47" s="1"/>
  <c r="C13" i="42"/>
  <c r="K50" i="64"/>
  <c r="C12" i="42" s="1"/>
  <c r="F8" i="73" l="1"/>
  <c r="D7" i="73"/>
  <c r="J7" i="73" s="1"/>
  <c r="J8" i="73" s="1"/>
  <c r="J17" i="73" s="1"/>
  <c r="G15" i="47"/>
  <c r="E60" i="47"/>
  <c r="E63" i="47"/>
  <c r="J26" i="66"/>
  <c r="K26" i="66" s="1"/>
  <c r="K21" i="66"/>
  <c r="D15" i="66"/>
  <c r="J15" i="66" s="1"/>
  <c r="J17" i="66" s="1"/>
  <c r="F17" i="66"/>
  <c r="D17" i="66" s="1"/>
  <c r="O69" i="47"/>
  <c r="O76" i="47" s="1"/>
  <c r="E41" i="47"/>
  <c r="F27" i="70"/>
  <c r="D24" i="70"/>
  <c r="J24" i="70" s="1"/>
  <c r="J27" i="70" s="1"/>
  <c r="J36" i="70" s="1"/>
  <c r="K60" i="47"/>
  <c r="D8" i="70"/>
  <c r="J8" i="70" s="1"/>
  <c r="J12" i="70" s="1"/>
  <c r="J21" i="70" s="1"/>
  <c r="F12" i="70"/>
  <c r="D8" i="66"/>
  <c r="J8" i="66" s="1"/>
  <c r="J11" i="66" s="1"/>
  <c r="J19" i="66" s="1"/>
  <c r="F11" i="66"/>
  <c r="D20" i="73"/>
  <c r="J20" i="73" s="1"/>
  <c r="J22" i="73" s="1"/>
  <c r="J32" i="73" s="1"/>
  <c r="J34" i="73" s="1"/>
  <c r="F22" i="73"/>
  <c r="J15" i="47"/>
  <c r="H63" i="47"/>
  <c r="J48" i="70"/>
  <c r="K48" i="70" s="1"/>
  <c r="K41" i="70"/>
  <c r="M15" i="47"/>
  <c r="K63" i="47"/>
  <c r="J44" i="73"/>
  <c r="K44" i="73" s="1"/>
  <c r="K37" i="73"/>
  <c r="C11" i="42" l="1"/>
  <c r="C8" i="42"/>
  <c r="J38" i="70"/>
  <c r="C5" i="42"/>
  <c r="D27" i="70"/>
  <c r="F36" i="70"/>
  <c r="D36" i="70" s="1"/>
  <c r="D22" i="73"/>
  <c r="F32" i="73"/>
  <c r="D32" i="73" s="1"/>
  <c r="D8" i="73"/>
  <c r="F17" i="73"/>
  <c r="F21" i="70"/>
  <c r="D12" i="70"/>
  <c r="D11" i="66"/>
  <c r="F19" i="66"/>
  <c r="G41" i="47"/>
  <c r="I69" i="47"/>
  <c r="I74" i="47" s="1"/>
  <c r="D21" i="70" l="1"/>
  <c r="F38" i="70"/>
  <c r="D17" i="73"/>
  <c r="F34" i="73"/>
  <c r="H69" i="47" s="1"/>
  <c r="H74" i="47" l="1"/>
  <c r="J74" i="47" s="1"/>
  <c r="J69" i="47"/>
  <c r="C4" i="42" s="1"/>
  <c r="C48"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F50" authorId="0" shapeId="0" xr:uid="{00000000-0006-0000-0100-000001000000}">
      <text>
        <r>
          <rPr>
            <b/>
            <sz val="8"/>
            <color indexed="81"/>
            <rFont val="Tahoma"/>
          </rPr>
          <t>stcutting:</t>
        </r>
        <r>
          <rPr>
            <sz val="8"/>
            <color indexed="81"/>
            <rFont val="Tahoma"/>
          </rPr>
          <t xml:space="preserve">
All ACS pieces go through the CIOSS.  Some are finalized in the AFR without needing REC keying.  Some are rejected from the CIOSS and must go to CFS.</t>
        </r>
      </text>
    </comment>
    <comment ref="F51" authorId="0" shapeId="0" xr:uid="{00000000-0006-0000-0100-000002000000}">
      <text>
        <r>
          <rPr>
            <b/>
            <sz val="8"/>
            <color indexed="81"/>
            <rFont val="Tahoma"/>
          </rPr>
          <t>stcutting:</t>
        </r>
        <r>
          <rPr>
            <sz val="8"/>
            <color indexed="81"/>
            <rFont val="Tahoma"/>
          </rPr>
          <t xml:space="preserve">
ditto</t>
        </r>
      </text>
    </comment>
    <comment ref="I52" authorId="0" shapeId="0" xr:uid="{00000000-0006-0000-0100-000003000000}">
      <text>
        <r>
          <rPr>
            <b/>
            <sz val="8"/>
            <color indexed="81"/>
            <rFont val="Tahoma"/>
          </rPr>
          <t>stcutting:</t>
        </r>
        <r>
          <rPr>
            <sz val="8"/>
            <color indexed="81"/>
            <rFont val="Tahoma"/>
          </rPr>
          <t xml:space="preserve">
not counted in total volume.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0F00-000001000000}">
      <text>
        <r>
          <rPr>
            <b/>
            <sz val="8"/>
            <color indexed="81"/>
            <rFont val="Tahoma"/>
          </rPr>
          <t>stcutting:</t>
        </r>
        <r>
          <rPr>
            <sz val="8"/>
            <color indexed="81"/>
            <rFont val="Tahoma"/>
          </rPr>
          <t xml:space="preserve">
Includes RTS mail mistakenly put in UBBM tub and later retrieved by Nixie clerk.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1000-000001000000}">
      <text>
        <r>
          <rPr>
            <b/>
            <sz val="8"/>
            <color indexed="81"/>
            <rFont val="Tahoma"/>
          </rPr>
          <t>stcutting:</t>
        </r>
        <r>
          <rPr>
            <sz val="8"/>
            <color indexed="81"/>
            <rFont val="Tahoma"/>
          </rPr>
          <t xml:space="preserve">
Includes RTS mail mistakenly put in UBBM tub and later retrieved by Nixie clerk.</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16" authorId="0" shapeId="0" xr:uid="{00000000-0006-0000-1200-000001000000}">
      <text>
        <r>
          <rPr>
            <b/>
            <sz val="8"/>
            <color indexed="81"/>
            <rFont val="Tahoma"/>
          </rPr>
          <t>stcutting:</t>
        </r>
        <r>
          <rPr>
            <sz val="8"/>
            <color indexed="81"/>
            <rFont val="Tahoma"/>
          </rPr>
          <t xml:space="preserve">
Postage due activities subtracted out.</t>
        </r>
      </text>
    </comment>
    <comment ref="A24" authorId="0" shapeId="0" xr:uid="{00000000-0006-0000-1200-000002000000}">
      <text>
        <r>
          <rPr>
            <b/>
            <sz val="8"/>
            <color indexed="81"/>
            <rFont val="Tahoma"/>
          </rPr>
          <t>stcutting:</t>
        </r>
        <r>
          <rPr>
            <sz val="8"/>
            <color indexed="81"/>
            <rFont val="Tahoma"/>
          </rPr>
          <t xml:space="preserve">
Postage due activities subtracted out.</t>
        </r>
      </text>
    </comment>
    <comment ref="A25" authorId="0" shapeId="0" xr:uid="{00000000-0006-0000-1200-000003000000}">
      <text>
        <r>
          <rPr>
            <b/>
            <sz val="8"/>
            <color indexed="81"/>
            <rFont val="Tahoma"/>
          </rPr>
          <t>stcutting:</t>
        </r>
        <r>
          <rPr>
            <sz val="8"/>
            <color indexed="81"/>
            <rFont val="Tahoma"/>
          </rPr>
          <t xml:space="preserve">
Postage due activities subtracted out.</t>
        </r>
      </text>
    </comment>
    <comment ref="A33" authorId="0" shapeId="0" xr:uid="{00000000-0006-0000-1200-000004000000}">
      <text>
        <r>
          <rPr>
            <b/>
            <sz val="8"/>
            <color indexed="81"/>
            <rFont val="Tahoma"/>
          </rPr>
          <t>stcutting:</t>
        </r>
        <r>
          <rPr>
            <sz val="8"/>
            <color indexed="81"/>
            <rFont val="Tahoma"/>
          </rPr>
          <t xml:space="preserve">
Includes INT old COA, CIR COA, and CIR Bad Add.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G8" authorId="0" shapeId="0" xr:uid="{00000000-0006-0000-1A00-000001000000}">
      <text>
        <r>
          <rPr>
            <b/>
            <sz val="8"/>
            <color indexed="81"/>
            <rFont val="Tahoma"/>
          </rPr>
          <t>stcutting:</t>
        </r>
        <r>
          <rPr>
            <sz val="8"/>
            <color indexed="81"/>
            <rFont val="Tahoma"/>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19" authorId="0" shapeId="0" xr:uid="{00000000-0006-0000-2500-000001000000}">
      <text>
        <r>
          <rPr>
            <b/>
            <sz val="8"/>
            <color indexed="81"/>
            <rFont val="Tahoma"/>
          </rPr>
          <t>stcutting:</t>
        </r>
        <r>
          <rPr>
            <sz val="8"/>
            <color indexed="81"/>
            <rFont val="Tahoma"/>
          </rPr>
          <t xml:space="preserve">
linked to CFS dist to capture change in volume.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9" authorId="0" shapeId="0" xr:uid="{00000000-0006-0000-0300-000001000000}">
      <text>
        <r>
          <rPr>
            <b/>
            <sz val="8"/>
            <color indexed="81"/>
            <rFont val="Tahoma"/>
          </rPr>
          <t>stcutting:</t>
        </r>
        <r>
          <rPr>
            <sz val="8"/>
            <color indexed="81"/>
            <rFont val="Tahoma"/>
          </rPr>
          <t xml:space="preserve">
It is necessary to subtract out CIF forwards.</t>
        </r>
      </text>
    </comment>
    <comment ref="B19" authorId="0" shapeId="0" xr:uid="{00000000-0006-0000-0300-000002000000}">
      <text>
        <r>
          <rPr>
            <b/>
            <sz val="8"/>
            <color indexed="81"/>
            <rFont val="Tahoma"/>
          </rPr>
          <t>stcutting:</t>
        </r>
        <r>
          <rPr>
            <sz val="8"/>
            <color indexed="81"/>
            <rFont val="Tahoma"/>
          </rPr>
          <t xml:space="preserve">
It is necessary to subtract out INT Fwds.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9" authorId="0" shapeId="0" xr:uid="{00000000-0006-0000-0600-000001000000}">
      <text>
        <r>
          <rPr>
            <b/>
            <sz val="8"/>
            <color indexed="81"/>
            <rFont val="Tahoma"/>
          </rPr>
          <t>stcutting:</t>
        </r>
        <r>
          <rPr>
            <sz val="8"/>
            <color indexed="81"/>
            <rFont val="Tahoma"/>
          </rPr>
          <t xml:space="preserve">
It is necessary to subtract out  mail that is CIR (both old COA and BadAdd CIR).</t>
        </r>
      </text>
    </comment>
    <comment ref="B17" authorId="0" shapeId="0" xr:uid="{00000000-0006-0000-0600-000002000000}">
      <text>
        <r>
          <rPr>
            <b/>
            <sz val="8"/>
            <color indexed="81"/>
            <rFont val="Tahoma"/>
          </rPr>
          <t>stcutting:</t>
        </r>
        <r>
          <rPr>
            <sz val="8"/>
            <color indexed="81"/>
            <rFont val="Tahoma"/>
          </rPr>
          <t xml:space="preserve">
It is necessary to subtract out CIF RTS.</t>
        </r>
      </text>
    </comment>
    <comment ref="B27" authorId="0" shapeId="0" xr:uid="{00000000-0006-0000-0600-000003000000}">
      <text>
        <r>
          <rPr>
            <b/>
            <sz val="8"/>
            <color indexed="81"/>
            <rFont val="Tahoma"/>
          </rPr>
          <t>stcutting:</t>
        </r>
        <r>
          <rPr>
            <sz val="8"/>
            <color indexed="81"/>
            <rFont val="Tahoma"/>
          </rPr>
          <t xml:space="preserve">
It is necessary to subtract out INT RTS.</t>
        </r>
      </text>
    </comment>
    <comment ref="B37" authorId="0" shapeId="0" xr:uid="{00000000-0006-0000-0600-000004000000}">
      <text>
        <r>
          <rPr>
            <b/>
            <sz val="8"/>
            <color indexed="81"/>
            <rFont val="Tahoma"/>
          </rPr>
          <t>stcutting:</t>
        </r>
        <r>
          <rPr>
            <sz val="8"/>
            <color indexed="81"/>
            <rFont val="Tahoma"/>
          </rPr>
          <t xml:space="preserve">
It is necessary to subtract out mail that is INT old COA.</t>
        </r>
      </text>
    </comment>
    <comment ref="B48" authorId="0" shapeId="0" xr:uid="{00000000-0006-0000-0600-000005000000}">
      <text>
        <r>
          <rPr>
            <b/>
            <sz val="8"/>
            <color indexed="81"/>
            <rFont val="Tahoma"/>
          </rPr>
          <t>stcutting:</t>
        </r>
        <r>
          <rPr>
            <sz val="8"/>
            <color indexed="81"/>
            <rFont val="Tahoma"/>
          </rPr>
          <t xml:space="preserve">
It is necessary to subtract out CIF RTS.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7" authorId="0" shapeId="0" xr:uid="{00000000-0006-0000-0700-000001000000}">
      <text>
        <r>
          <rPr>
            <b/>
            <sz val="8"/>
            <color indexed="81"/>
            <rFont val="Tahoma"/>
          </rPr>
          <t>stcutting:</t>
        </r>
        <r>
          <rPr>
            <sz val="8"/>
            <color indexed="81"/>
            <rFont val="Tahoma"/>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17" authorId="0" shapeId="0" xr:uid="{00000000-0006-0000-0900-000001000000}">
      <text>
        <r>
          <rPr>
            <b/>
            <sz val="8"/>
            <color indexed="81"/>
            <rFont val="Tahoma"/>
          </rPr>
          <t>stcutting:</t>
        </r>
        <r>
          <rPr>
            <sz val="8"/>
            <color indexed="81"/>
            <rFont val="Tahoma"/>
          </rPr>
          <t xml:space="preserve">
It is necessary to subtract out CIF waste.</t>
        </r>
      </text>
    </comment>
    <comment ref="B27" authorId="0" shapeId="0" xr:uid="{00000000-0006-0000-0900-000002000000}">
      <text>
        <r>
          <rPr>
            <b/>
            <sz val="8"/>
            <color indexed="81"/>
            <rFont val="Tahoma"/>
          </rPr>
          <t>stcutting:</t>
        </r>
        <r>
          <rPr>
            <sz val="8"/>
            <color indexed="81"/>
            <rFont val="Tahoma"/>
          </rPr>
          <t xml:space="preserve">
It is necessary to subtract out INT waste.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5" authorId="0" shapeId="0" xr:uid="{00000000-0006-0000-0A00-000001000000}">
      <text>
        <r>
          <rPr>
            <b/>
            <sz val="8"/>
            <color indexed="81"/>
            <rFont val="Tahoma"/>
          </rPr>
          <t>stcutting:</t>
        </r>
        <r>
          <rPr>
            <sz val="8"/>
            <color indexed="81"/>
            <rFont val="Tahoma"/>
          </rPr>
          <t xml:space="preserve">
Carrier-identified non-forwardable waste is included in  PARS route table but is categorized here as non-PARS since these pieces never make it to the CIOSS for processing.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J5" authorId="0" shapeId="0" xr:uid="{00000000-0006-0000-0B00-000001000000}">
      <text>
        <r>
          <rPr>
            <b/>
            <sz val="8"/>
            <color indexed="81"/>
            <rFont val="Tahoma"/>
          </rPr>
          <t>stcutting:</t>
        </r>
        <r>
          <rPr>
            <sz val="8"/>
            <color indexed="81"/>
            <rFont val="Tahoma"/>
          </rPr>
          <t xml:space="preserve">
Forms generated on CIOSS have a one-to-one form-to -envelope factor.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C6" authorId="0" shapeId="0" xr:uid="{00000000-0006-0000-0D00-000001000000}">
      <text>
        <r>
          <rPr>
            <b/>
            <sz val="8"/>
            <color indexed="81"/>
            <rFont val="Tahoma"/>
          </rPr>
          <t>stcutting:</t>
        </r>
        <r>
          <rPr>
            <sz val="8"/>
            <color indexed="81"/>
            <rFont val="Tahoma"/>
          </rPr>
          <t xml:space="preserve">
Handing out forms, helping to complete forms.</t>
        </r>
      </text>
    </comment>
    <comment ref="D67" authorId="0" shapeId="0" xr:uid="{00000000-0006-0000-0D00-000002000000}">
      <text>
        <r>
          <rPr>
            <b/>
            <sz val="8"/>
            <color indexed="81"/>
            <rFont val="Tahoma"/>
          </rPr>
          <t>stcutting:</t>
        </r>
        <r>
          <rPr>
            <sz val="8"/>
            <color indexed="81"/>
            <rFont val="Tahoma"/>
          </rPr>
          <t xml:space="preserve">
These volumes do not contribute to the COA total.  They are already included above.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0E00-000001000000}">
      <text>
        <r>
          <rPr>
            <b/>
            <sz val="8"/>
            <color indexed="81"/>
            <rFont val="Tahoma"/>
          </rPr>
          <t>stcutting:</t>
        </r>
        <r>
          <rPr>
            <sz val="8"/>
            <color indexed="81"/>
            <rFont val="Tahoma"/>
          </rPr>
          <t xml:space="preserve">
Includes RTS mail mistakenly put in UBBM tub and later retrieved by Nixie clerk.</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<sst xmlns="http://schemas.openxmlformats.org/spreadsheetml/2006/main" count="3280" uniqueCount="824">
  <si>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</si>
  <si>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</si>
  <si>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</si>
  <si>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</si>
  <si>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</si>
  <si>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</si>
  <si>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</si>
  <si>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</si>
  <si>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</si>
  <si>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</si>
  <si>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</si>
  <si>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</si>
  <si>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</si>
  <si>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</si>
  <si>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</si>
  <si>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</si>
  <si>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</si>
  <si>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</si>
  <si>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</si>
  <si>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</si>
  <si>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</si>
  <si>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</si>
  <si>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</si>
  <si>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</si>
  <si>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</si>
  <si>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</si>
  <si>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</si>
  <si>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</si>
  <si>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</si>
  <si>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</si>
  <si>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</si>
  <si>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</si>
  <si>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</si>
  <si>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</si>
  <si>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</si>
  <si>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</si>
  <si>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</si>
  <si>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</si>
  <si>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</si>
  <si>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sz val="10"/>
        <rFont val="Arial"/>
        <family val="2"/>
      </rPr>
      <t>(000s) (2)</t>
    </r>
  </si>
  <si>
    <r>
      <t xml:space="preserve">Non-ACS Keying Cost
</t>
    </r>
    <r>
      <rPr>
        <u/>
        <sz val="10"/>
        <rFont val="Arial"/>
        <family val="2"/>
      </rPr>
      <t>(000s)</t>
    </r>
  </si>
  <si>
    <r>
      <t xml:space="preserve">ACS Keying Cost
</t>
    </r>
    <r>
      <rPr>
        <u/>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</si>
  <si>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</si>
  <si>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</si>
  <si>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</si>
  <si>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</si>
  <si>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</si>
  <si>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</si>
  <si>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</si>
  <si>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</si>
  <si>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</si>
  <si>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</si>
  <si>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</si>
  <si>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</si>
  <si>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</si>
  <si>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</si>
  <si>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</si>
  <si>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</si>
  <si>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</si>
  <si>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</si>
  <si>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</si>
  <si>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</si>
  <si>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</si>
  <si>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</si>
  <si>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</si>
  <si>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</si>
  <si>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</si>
  <si>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</si>
  <si>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</si>
  <si>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</si>
  <si>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</si>
  <si>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</si>
  <si>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</si>
  <si>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</si>
  <si>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</si>
  <si>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</si>
  <si>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</si>
  <si>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</si>
  <si>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</si>
  <si>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</si>
  <si>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</si>
  <si>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</si>
  <si>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</si>
  <si>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</si>
  <si>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</si>
  <si>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</si>
  <si>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</si>
  <si>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</si>
  <si>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</si>
  <si>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</si>
  <si>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</si>
  <si>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</si>
  <si>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</si>
  <si>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</si>
  <si>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</si>
  <si>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</si>
  <si>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</si>
  <si>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</si>
  <si>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</si>
  <si>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</si>
  <si>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</si>
  <si>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</si>
  <si>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</si>
  <si>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</si>
  <si>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</si>
  <si>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sz val="10"/>
        <rFont val="Arial"/>
        <family val="2"/>
      </rPr>
      <t>Contribution</t>
    </r>
  </si>
  <si>
    <t>n/a</t>
  </si>
  <si>
    <t>HWY Contract</t>
  </si>
  <si>
    <t>ACS Nixie Processing</t>
  </si>
  <si>
    <r>
      <t>Volume</t>
    </r>
    <r>
      <rPr>
        <u/>
        <sz val="10"/>
        <rFont val="Arial"/>
        <family val="2"/>
      </rPr>
      <t xml:space="preserve"> (000s)</t>
    </r>
  </si>
  <si>
    <r>
      <t xml:space="preserve">Total Cost </t>
    </r>
    <r>
      <rPr>
        <u/>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</si>
  <si>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</si>
  <si>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</si>
  <si>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</si>
  <si>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</si>
  <si>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</si>
  <si>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</si>
  <si>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</si>
  <si>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</si>
  <si>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</si>
  <si>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</si>
  <si>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</si>
  <si>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</si>
  <si>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</si>
  <si>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</si>
  <si>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</si>
  <si>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</si>
  <si>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</si>
  <si>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</si>
  <si>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</si>
  <si>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</si>
  <si>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</si>
  <si>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</si>
  <si>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sz val="10"/>
        <rFont val="Arial"/>
        <family val="2"/>
      </rPr>
      <t>Cost/Piece</t>
    </r>
  </si>
  <si>
    <r>
      <t>Total</t>
    </r>
    <r>
      <rPr>
        <u/>
        <sz val="10"/>
        <rFont val="Arial"/>
        <family val="2"/>
      </rPr>
      <t xml:space="preserve"> Cost/Piece</t>
    </r>
  </si>
  <si>
    <t>City Carriers</t>
  </si>
  <si>
    <t>Rural Carriers</t>
  </si>
  <si>
    <t>PO Boxes</t>
  </si>
  <si>
    <t>Delivery Unit</t>
  </si>
  <si>
    <t>Weight</t>
  </si>
  <si>
    <r>
      <t xml:space="preserve">Actual Cost </t>
    </r>
    <r>
      <rPr>
        <u/>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</si>
  <si>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</si>
  <si>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</si>
  <si>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</si>
  <si>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</si>
  <si>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</si>
  <si>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</si>
  <si>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</si>
  <si>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</si>
  <si>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</si>
  <si>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</si>
  <si>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</si>
  <si>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</si>
  <si>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</si>
  <si>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</si>
  <si>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</si>
  <si>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</si>
  <si>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</si>
  <si>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sz val="10"/>
        <rFont val="Arial"/>
        <family val="2"/>
      </rPr>
      <t>Cost/Piece</t>
    </r>
  </si>
  <si>
    <t>Leave Notice</t>
  </si>
  <si>
    <t>Attempt Delivery</t>
  </si>
  <si>
    <t>Collect PD</t>
  </si>
  <si>
    <t>Process Refused Mail</t>
  </si>
  <si>
    <t>Total Cost/Piece for Postage Due Forwarded Mail</t>
  </si>
  <si>
    <r>
      <t xml:space="preserve">Labor </t>
    </r>
    <r>
      <rPr>
        <u/>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</si>
  <si>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</si>
  <si>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</si>
  <si>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</si>
  <si>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</si>
  <si>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</si>
  <si>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</si>
  <si>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</si>
  <si>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</si>
  <si>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</si>
  <si>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</si>
  <si>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</si>
  <si>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</si>
  <si>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</si>
  <si>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</si>
  <si>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</si>
  <si>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</si>
  <si>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</si>
  <si>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</si>
  <si>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sz val="10"/>
        <rFont val="Arial"/>
        <family val="2"/>
      </rPr>
      <t>Cost</t>
    </r>
  </si>
  <si>
    <t>Window Service</t>
  </si>
  <si>
    <t>Transportation Cost</t>
  </si>
  <si>
    <t>No Record Mail</t>
  </si>
  <si>
    <t>Unendorsed Bulk Business Mail (UBBM)</t>
  </si>
  <si>
    <t>check ---&gt;</t>
  </si>
  <si>
    <r>
      <t xml:space="preserve">Pieces/ </t>
    </r>
    <r>
      <rPr>
        <u/>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</si>
  <si>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</si>
  <si>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</si>
  <si>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</si>
  <si>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</si>
  <si>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</si>
  <si>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</si>
  <si>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</si>
  <si>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</si>
  <si>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</si>
  <si>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</si>
  <si>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</si>
  <si>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</si>
  <si>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</si>
  <si>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</si>
  <si>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</si>
  <si>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</si>
  <si>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</si>
  <si>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</si>
  <si>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sz val="10"/>
        <rFont val="Arial"/>
        <family val="2"/>
      </rPr>
      <t>Per Step</t>
    </r>
  </si>
  <si>
    <r>
      <t xml:space="preserve">Cost Per </t>
    </r>
    <r>
      <rPr>
        <u/>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</si>
  <si>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</si>
  <si>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</si>
  <si>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</si>
  <si>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</si>
  <si>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</si>
  <si>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</si>
  <si>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sz val="10"/>
        <rFont val="Arial"/>
        <family val="2"/>
      </rPr>
      <t>(000s)</t>
    </r>
  </si>
  <si>
    <r>
      <t xml:space="preserve">Overall Cost
</t>
    </r>
    <r>
      <rPr>
        <u/>
        <sz val="10"/>
        <rFont val="Arial"/>
        <family val="2"/>
      </rPr>
      <t>(000s)</t>
    </r>
  </si>
  <si>
    <r>
      <t xml:space="preserve">Total Cost
</t>
    </r>
    <r>
      <rPr>
        <u/>
        <sz val="10"/>
        <rFont val="Arial"/>
        <family val="2"/>
      </rPr>
      <t>(000s)</t>
    </r>
  </si>
  <si>
    <t>Delivery Unit Costs at Route</t>
  </si>
  <si>
    <t>All Pieces</t>
  </si>
  <si>
    <r>
      <t xml:space="preserve">Weighted Cost </t>
    </r>
    <r>
      <rPr>
        <u/>
        <sz val="10"/>
        <rFont val="Arial"/>
        <family val="2"/>
      </rPr>
      <t>Per Piece</t>
    </r>
  </si>
  <si>
    <r>
      <t xml:space="preserve">Volume
</t>
    </r>
    <r>
      <rPr>
        <u/>
        <sz val="10"/>
        <rFont val="Arial"/>
        <family val="2"/>
      </rPr>
      <t>(000s)</t>
    </r>
  </si>
  <si>
    <r>
      <t xml:space="preserve">Total Hours </t>
    </r>
    <r>
      <rPr>
        <u/>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</si>
  <si>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</si>
  <si>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</si>
  <si>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</si>
  <si>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</si>
  <si>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</si>
  <si>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</si>
  <si>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</si>
  <si>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</si>
  <si>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</si>
  <si>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</si>
  <si>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</si>
  <si>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</si>
  <si>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</si>
  <si>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</si>
  <si>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</si>
  <si>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</si>
  <si>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</si>
  <si>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</si>
  <si>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</si>
  <si>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</si>
  <si>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</si>
  <si>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sz val="7.5"/>
        <rFont val="Arial"/>
        <family val="2"/>
      </rPr>
      <t xml:space="preserve"> </t>
    </r>
    <r>
      <rPr>
        <u/>
        <sz val="10"/>
        <rFont val="Arial"/>
        <family val="2"/>
      </rPr>
      <t>Factor (1)</t>
    </r>
  </si>
  <si>
    <r>
      <t xml:space="preserve">Piggyback </t>
    </r>
    <r>
      <rPr>
        <u/>
        <sz val="10"/>
        <rFont val="Arial"/>
        <family val="2"/>
      </rPr>
      <t>Factor (2)</t>
    </r>
  </si>
  <si>
    <t xml:space="preserve"> </t>
  </si>
  <si>
    <r>
      <t xml:space="preserve">Total Hours </t>
    </r>
    <r>
      <rPr>
        <u/>
        <sz val="10"/>
        <rFont val="Arial"/>
        <family val="2"/>
      </rPr>
      <t>(000s) (1)</t>
    </r>
  </si>
  <si>
    <r>
      <t xml:space="preserve">Overall Cost
</t>
    </r>
    <r>
      <rPr>
        <u/>
        <sz val="10"/>
        <rFont val="Arial"/>
        <family val="2"/>
      </rPr>
      <t>(000s) (1)</t>
    </r>
  </si>
  <si>
    <r>
      <t xml:space="preserve">Volume
</t>
    </r>
    <r>
      <rPr>
        <u/>
        <sz val="10"/>
        <rFont val="Arial"/>
        <family val="2"/>
      </rPr>
      <t>(000s) (1)</t>
    </r>
  </si>
  <si>
    <r>
      <t xml:space="preserve">Piggyback </t>
    </r>
    <r>
      <rPr>
        <u/>
        <sz val="10"/>
        <rFont val="Arial"/>
        <family val="2"/>
      </rPr>
      <t>Factor (1)</t>
    </r>
  </si>
  <si>
    <t>Volume (000s) (1)</t>
  </si>
  <si>
    <t>Originating Delivery Unit</t>
  </si>
  <si>
    <t>Destinating Delivery Unit</t>
  </si>
  <si>
    <t>Mail Processing &amp; Transportation</t>
  </si>
  <si>
    <t>Piggyback (2)</t>
  </si>
  <si>
    <r>
      <t xml:space="preserve">Error </t>
    </r>
    <r>
      <rPr>
        <u/>
        <sz val="10"/>
        <rFont val="Arial"/>
        <family val="2"/>
      </rPr>
      <t>Rate (3)</t>
    </r>
  </si>
  <si>
    <r>
      <t>Volume</t>
    </r>
    <r>
      <rPr>
        <u/>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</si>
  <si>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</si>
  <si>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</si>
  <si>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</si>
  <si>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</si>
  <si>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</si>
  <si>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</si>
  <si>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</si>
  <si>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</si>
  <si>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</si>
  <si>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</si>
  <si>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</si>
  <si>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</si>
  <si>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sz val="10"/>
        <rFont val="Arial"/>
        <family val="2"/>
      </rPr>
      <t>Hour</t>
    </r>
  </si>
  <si>
    <r>
      <t>Marg. Pieces/</t>
    </r>
    <r>
      <rPr>
        <u/>
        <sz val="10"/>
        <rFont val="Arial"/>
        <family val="2"/>
      </rPr>
      <t>Hour</t>
    </r>
  </si>
  <si>
    <r>
      <t xml:space="preserve">Variability </t>
    </r>
    <r>
      <rPr>
        <u/>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</si>
  <si>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</si>
  <si>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</si>
  <si>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</si>
  <si>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</si>
  <si>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</si>
  <si>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</si>
  <si>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</si>
  <si>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</si>
  <si>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</si>
  <si>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</si>
  <si>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</si>
  <si>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</si>
  <si>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</si>
  <si>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</si>
  <si>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</si>
  <si>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</si>
  <si>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</si>
  <si>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</si>
  <si>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</si>
  <si>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</si>
  <si>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</si>
  <si>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</si>
  <si>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</si>
  <si>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</si>
  <si>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</si>
  <si>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</si>
  <si>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</si>
  <si>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</si>
  <si>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</si>
  <si>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</si>
  <si>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</si>
  <si>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</si>
  <si>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</si>
  <si>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</si>
  <si>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</si>
  <si>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</si>
  <si>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</si>
  <si>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</si>
  <si>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</si>
  <si>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</si>
  <si>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</si>
  <si>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</si>
  <si>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</si>
  <si>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</si>
  <si>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</si>
  <si>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</si>
  <si>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</si>
  <si>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</si>
  <si>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</si>
  <si>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</si>
  <si>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</si>
  <si>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</si>
  <si>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</si>
  <si>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</si>
  <si>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</si>
  <si>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</si>
  <si>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</si>
  <si>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</si>
  <si>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</si>
  <si>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</si>
  <si>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</si>
  <si>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</si>
  <si>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</si>
  <si>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</si>
  <si>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</si>
  <si>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</si>
  <si>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</si>
  <si>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</si>
  <si>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</si>
  <si>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</si>
  <si>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</si>
  <si>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</si>
  <si>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</si>
  <si>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</si>
  <si>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</si>
  <si>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</si>
  <si>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</si>
  <si>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</si>
  <si>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</si>
  <si>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</si>
  <si>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</si>
  <si>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</si>
  <si>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</si>
  <si>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</si>
  <si>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</si>
  <si>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</si>
  <si>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</si>
  <si>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</si>
  <si>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</si>
  <si>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</si>
  <si>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</si>
  <si>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</si>
  <si>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</si>
  <si>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</si>
  <si>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</si>
  <si>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</si>
  <si>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</si>
  <si>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</si>
  <si>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</si>
  <si>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</si>
  <si>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</si>
  <si>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</si>
  <si>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</si>
  <si>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</si>
  <si>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</si>
  <si>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</si>
  <si>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</si>
  <si>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</si>
  <si>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</si>
  <si>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</si>
  <si>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</si>
  <si>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</si>
  <si>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</si>
  <si>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</si>
  <si>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</si>
  <si>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</si>
  <si>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</si>
  <si>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</si>
  <si>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</si>
  <si>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</si>
  <si>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</si>
  <si>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</si>
  <si>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</si>
  <si>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</si>
  <si>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</si>
  <si>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</si>
  <si>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</si>
  <si>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</si>
  <si>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sz val="10"/>
        <rFont val="Arial"/>
        <family val="2"/>
      </rPr>
      <t>(000s) (2)</t>
    </r>
  </si>
  <si>
    <r>
      <t xml:space="preserve">Overall Cost
</t>
    </r>
    <r>
      <rPr>
        <u/>
        <sz val="10"/>
        <rFont val="Arial"/>
        <family val="2"/>
      </rPr>
      <t>(000s) (2)</t>
    </r>
  </si>
  <si>
    <r>
      <t xml:space="preserve">Piggyback </t>
    </r>
    <r>
      <rPr>
        <u/>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</si>
  <si>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</si>
  <si>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</si>
  <si>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</si>
  <si>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</si>
  <si>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</si>
  <si>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</si>
  <si>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</si>
  <si>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</si>
  <si>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</si>
  <si>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</si>
  <si>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sz val="10"/>
        <rFont val="Arial"/>
        <family val="2"/>
      </rPr>
      <t>(000s)</t>
    </r>
  </si>
  <si>
    <r>
      <t xml:space="preserve">REC Volume
</t>
    </r>
    <r>
      <rPr>
        <u/>
        <sz val="10"/>
        <rFont val="Arial"/>
        <family val="2"/>
      </rPr>
      <t>(000s)</t>
    </r>
  </si>
  <si>
    <r>
      <t xml:space="preserve">AFR Final Volume
</t>
    </r>
    <r>
      <rPr>
        <u/>
        <sz val="10"/>
        <rFont val="Arial"/>
        <family val="2"/>
      </rPr>
      <t>(000s)</t>
    </r>
  </si>
  <si>
    <t>COA Cards</t>
  </si>
  <si>
    <t>Total Mail</t>
  </si>
  <si>
    <r>
      <t xml:space="preserve">Input Volume
</t>
    </r>
    <r>
      <rPr>
        <u/>
        <sz val="10"/>
        <rFont val="Arial"/>
        <family val="2"/>
      </rPr>
      <t>(000s) (1)</t>
    </r>
  </si>
  <si>
    <r>
      <t xml:space="preserve">AFR Finalization </t>
    </r>
    <r>
      <rPr>
        <u/>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</si>
  <si>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</si>
  <si>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</si>
  <si>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</si>
  <si>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</si>
  <si>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</si>
  <si>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</si>
  <si>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</si>
  <si>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</si>
  <si>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</si>
  <si>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</si>
  <si>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</si>
  <si>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</si>
  <si>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</si>
  <si>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</si>
  <si>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</si>
  <si>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</si>
  <si>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</si>
  <si>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</si>
  <si>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</si>
  <si>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</si>
  <si>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</si>
  <si>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</si>
  <si>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</si>
  <si>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</si>
  <si>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</si>
  <si>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</si>
  <si>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</si>
  <si>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</si>
  <si>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</si>
  <si>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</si>
  <si>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</si>
  <si>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</si>
  <si>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</si>
  <si>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</si>
  <si>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</si>
  <si>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sz val="10"/>
        <rFont val="Arial"/>
        <family val="2"/>
      </rPr>
      <t>Envelope</t>
    </r>
  </si>
  <si>
    <r>
      <t>Total Mailstream Processing</t>
    </r>
    <r>
      <rPr>
        <u/>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</si>
  <si>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</si>
  <si>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</si>
  <si>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</si>
  <si>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</si>
  <si>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</si>
  <si>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</si>
  <si>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</si>
  <si>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</si>
  <si>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</si>
  <si>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</si>
  <si>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</si>
  <si>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</si>
  <si>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</si>
  <si>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</si>
  <si>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</si>
  <si>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</si>
  <si>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</si>
  <si>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</si>
  <si>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</si>
  <si>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</si>
  <si>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</si>
  <si>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</si>
  <si>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</si>
  <si>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</si>
  <si>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</si>
  <si>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</si>
  <si>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</si>
  <si>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</si>
  <si>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</si>
  <si>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</si>
  <si>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</si>
  <si>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</si>
  <si>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</si>
  <si>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</si>
  <si>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</si>
  <si>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</si>
  <si>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</si>
  <si>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</si>
  <si>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</si>
  <si>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</si>
  <si>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</si>
  <si>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</si>
  <si>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</si>
  <si>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</si>
  <si>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</si>
  <si>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</si>
  <si>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</si>
  <si>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</si>
  <si>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</si>
  <si>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</si>
  <si>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</si>
  <si>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</si>
  <si>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</si>
  <si>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</si>
  <si>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</si>
  <si>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sz val="10"/>
        <rFont val="Arial"/>
        <family val="2"/>
      </rPr>
      <t>Pieces (000)</t>
    </r>
  </si>
  <si>
    <r>
      <t xml:space="preserve">Non-PARS </t>
    </r>
    <r>
      <rPr>
        <u/>
        <sz val="10"/>
        <rFont val="Arial"/>
        <family val="2"/>
      </rPr>
      <t>Pieces (000)</t>
    </r>
  </si>
  <si>
    <r>
      <t xml:space="preserve">Total </t>
    </r>
    <r>
      <rPr>
        <u/>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</si>
  <si>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</si>
  <si>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</si>
  <si>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</si>
  <si>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</si>
  <si>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</si>
  <si>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</si>
  <si>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</si>
  <si>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</si>
  <si>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</si>
  <si>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</si>
  <si>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</si>
  <si>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</si>
  <si>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</si>
  <si>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</si>
  <si>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</si>
  <si>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</si>
  <si>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</si>
  <si>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</si>
  <si>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</si>
  <si>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</si>
  <si>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</si>
  <si>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</si>
  <si>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</si>
  <si>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</si>
  <si>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</si>
  <si>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</si>
  <si>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</si>
  <si>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</si>
  <si>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</si>
  <si>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</si>
  <si>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</si>
  <si>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</si>
  <si>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</si>
  <si>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</si>
  <si>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</si>
  <si>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</si>
  <si>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</si>
  <si>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</si>
  <si>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</si>
  <si>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</si>
  <si>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</si>
  <si>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</si>
  <si>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</si>
  <si>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</si>
  <si>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</si>
  <si>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</si>
  <si>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</si>
  <si>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</si>
  <si>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</si>
  <si>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</si>
  <si>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</si>
  <si>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</si>
  <si>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</si>
  <si>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</si>
  <si>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</si>
  <si>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</si>
  <si>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</si>
  <si>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</si>
  <si>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</si>
  <si>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</si>
  <si>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</si>
  <si>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</si>
  <si>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</si>
  <si>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</si>
  <si>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</si>
  <si>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</si>
  <si>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</si>
  <si>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</si>
  <si>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</si>
  <si>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</si>
  <si>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</si>
  <si>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</si>
  <si>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</si>
  <si>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</si>
  <si>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</si>
  <si>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</si>
  <si>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</si>
  <si>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</si>
  <si>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</si>
  <si>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</si>
  <si>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</si>
  <si>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</si>
  <si>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</si>
  <si>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</si>
  <si>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</si>
  <si>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</si>
  <si>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</si>
  <si>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</si>
  <si>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</si>
  <si>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</si>
  <si>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</si>
  <si>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</si>
  <si>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</si>
  <si>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</si>
  <si>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</si>
  <si>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</si>
  <si>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</si>
  <si>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</si>
  <si>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</si>
  <si>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</si>
  <si>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</si>
  <si>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</si>
  <si>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</si>
  <si>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</si>
  <si>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</si>
  <si>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</si>
  <si>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</si>
  <si>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</si>
  <si>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</si>
  <si>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</si>
  <si>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</si>
  <si>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</si>
  <si>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</si>
  <si>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</si>
  <si>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</si>
  <si>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</si>
  <si>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</si>
  <si>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</si>
  <si>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</si>
  <si>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</si>
  <si>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</si>
  <si>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</si>
  <si>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</si>
  <si>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</si>
  <si>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</si>
  <si>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</si>
  <si>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</si>
  <si>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</si>
  <si>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</si>
  <si>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</si>
  <si>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</si>
  <si>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</si>
  <si>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</si>
  <si>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</si>
  <si>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</si>
  <si>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</si>
  <si>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</si>
  <si>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</si>
  <si>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</si>
  <si>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</si>
  <si>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</si>
  <si>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</si>
  <si>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</si>
  <si>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</si>
  <si>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</si>
  <si>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</si>
  <si>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</si>
  <si>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</si>
  <si>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</si>
  <si>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</si>
  <si>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</si>
  <si>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</si>
  <si>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</si>
  <si>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</si>
  <si>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</si>
  <si>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</si>
  <si>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</si>
  <si>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</si>
  <si>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</si>
  <si>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</si>
  <si>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</si>
  <si>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</si>
  <si>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</si>
  <si>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</si>
  <si>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</si>
  <si>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</si>
  <si>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</si>
  <si>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</si>
  <si>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</si>
  <si>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</si>
  <si>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</si>
  <si>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</si>
  <si>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</si>
  <si>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</si>
  <si>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</si>
  <si>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</si>
  <si>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</si>
  <si>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</si>
  <si>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</si>
  <si>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</si>
  <si>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</si>
  <si>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</si>
  <si>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</si>
  <si>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</si>
  <si>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</si>
  <si>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</si>
  <si>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</si>
  <si>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</si>
  <si>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</si>
  <si>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</si>
  <si>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</si>
  <si>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</si>
  <si>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</si>
  <si>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</si>
  <si>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</si>
  <si>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</si>
  <si>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</si>
  <si>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</si>
  <si>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</si>
  <si>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</si>
  <si>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</si>
  <si>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</si>
  <si>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</si>
  <si>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</si>
  <si>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</si>
  <si>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</si>
  <si>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</si>
  <si>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</si>
  <si>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</si>
  <si>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</si>
  <si>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</si>
  <si>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</si>
  <si>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</si>
  <si>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</si>
  <si>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</si>
  <si>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</si>
  <si>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</si>
  <si>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</si>
  <si>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</si>
  <si>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</si>
  <si>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</si>
  <si>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</si>
  <si>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</si>
  <si>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</si>
  <si>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</si>
  <si>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</si>
  <si>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</si>
  <si>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</si>
  <si>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</si>
  <si>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</si>
  <si>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</si>
  <si>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</si>
  <si>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</si>
  <si>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</si>
  <si>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</si>
  <si>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</si>
  <si>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</si>
  <si>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</si>
  <si>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</si>
  <si>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</si>
  <si>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</si>
  <si>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</si>
  <si>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</si>
  <si>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</si>
  <si>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</si>
  <si>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</si>
  <si>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</si>
  <si>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</si>
  <si>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</si>
  <si>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</si>
  <si>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</si>
  <si>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</si>
  <si>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</si>
  <si>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</si>
  <si>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</si>
  <si>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</si>
  <si>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</si>
  <si>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</si>
  <si>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</si>
  <si>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</si>
  <si>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</si>
  <si>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</si>
  <si>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</si>
  <si>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</si>
  <si>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</si>
  <si>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</si>
  <si>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</si>
  <si>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</si>
  <si>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</si>
  <si>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</si>
  <si>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22</t>
  </si>
  <si>
    <t>(1) Based on FY 22 piggyback factors.</t>
  </si>
  <si>
    <t>(7) Refer to PARS 22 Baseline Cost Model, CFS Module.</t>
  </si>
  <si>
    <t>(8) Refer to PARS 22 Baseline Cost Model, Nixie Module.</t>
  </si>
  <si>
    <t>(4) Refer to PARS 22 Baseline Cost Model, Postage Due Module.</t>
  </si>
  <si>
    <t>(3) Refer to PARS 22 Baseline Cost Model, Postage Due Module.</t>
  </si>
  <si>
    <t>(5) Refer to PARS 22 Baseline Cost Model, CFS Module.</t>
  </si>
  <si>
    <t>(7) Refer to PARS 22 Baseline Cost Model, Nixie Module.</t>
  </si>
  <si>
    <t>(2) Based on FY 22 piggyback factors.</t>
  </si>
  <si>
    <t>(1) Refer to PARS 22 Baseline Cost Model, Route Module.</t>
  </si>
  <si>
    <t>(3) Based on FCS database 04 adjusted for PARS environment and FY 22 growth.  Refer to PARS 22 Baseline Cost Model, Route Module.</t>
  </si>
  <si>
    <t>(3) Refer to PARS 22 Baseline Cost Model, Route Module and CFS Module.</t>
  </si>
  <si>
    <t>(4) Refer to PARS 22 Baseline Cost Model, Mail Processing and Transportation Module.</t>
  </si>
  <si>
    <t>(1) Refer to PARS 22 Baseline Cost Model, Nixie Module.</t>
  </si>
  <si>
    <t>(3) Includes keying, loading, &amp; sweeping.  Refer to PARS 22 Baseline Cost Model, CFS Module.</t>
  </si>
  <si>
    <t>(1) Refer to PARS 22 Baseline Cost Model, CFS Module.</t>
  </si>
  <si>
    <t>(1) Refer to PARS 22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</si>
  <si>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</si>
  <si>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</si>
  <si>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</si>
  <si>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</si>
  <si>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22 piggyback factors.</t>
  </si>
  <si>
    <t>(2) Refer to PARS 22 Baseline Cost Model, CIOSS Module.</t>
  </si>
  <si>
    <t>(2) Refer to PARS 22 Baseline Cost Model, REC Module.</t>
  </si>
  <si>
    <t>(1) Refer to PARS 22 Baseline Cost Model, REC Module.  CIOSS rejects excluded.</t>
  </si>
  <si>
    <t>(3) Based on CRA FY 22 C/S 14 First-Class Mail transportation (all shapes), USPS-LR-L-7.</t>
  </si>
  <si>
    <t>(1) Refer to PARS 22 Baseline Cost Model, Mail Processing and Transportation Module.  Savings associated with the obsolete automation portion of the RTS program are realized in the CIOSS and REC Modules.</t>
  </si>
  <si>
    <t>(1) Refer to PARS 22 Baseline Cost Model, Postage Due Module.</t>
  </si>
  <si>
    <t>(1) Refer to PARS 22 Baseline Cost Model, CIOSS Module.</t>
  </si>
  <si>
    <t>(2) Refer to PARS 22 Baseline Cost Model, Postage Due Module.</t>
  </si>
  <si>
    <t>(7) Based on FY 22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</si>
  <si>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</si>
  <si>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</si>
  <si>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</si>
  <si>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22 Baseline Cost Model, Route Module.</t>
  </si>
  <si>
    <t>(4)  Refer to PARS 22 Baseline Cost Model, Mail Processing and Transportation Module.</t>
  </si>
  <si>
    <t>FY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</si>
</sst>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quot;$&quot;#,##0.0000000"/>
    <numFmt numFmtId="184" formatCode="0.000%"/>
    <numFmt numFmtId="185" formatCode="0.000000%"/>
  </numFmts>
  <fonts count="15" x14ac:knownFonts="1">
    <font>
      <sz val="10"/>
      <name val="Arial"/>
    </font>
    <font>
      <sz val="10"/>
      <name val="Arial"/>
    </font>
    <font>
      <sz val="10"/>
      <name val="Arial"/>
      <family val="2"/>
    </font>
    <font>
      <u/>
      <sz val="10"/>
      <name val="Arial"/>
      <family val="2"/>
    </font>
    <font>
      <b/>
      <sz val="10"/>
      <name val="Arial"/>
      <family val="2"/>
    </font>
    <font>
      <sz val="8"/>
      <name val="Arial"/>
    </font>
    <font>
      <u/>
      <sz val="10"/>
      <name val="Arial"/>
    </font>
    <font>
      <sz val="12"/>
      <name val="Helv"/>
    </font>
    <font>
      <sz val="10"/>
      <color indexed="12"/>
      <name val="Arial"/>
      <family val="2"/>
    </font>
    <font>
      <u/>
      <sz val="7.5"/>
      <name val="Arial"/>
      <family val="2"/>
    </font>
    <font>
      <b/>
      <u/>
      <sz val="10"/>
      <name val="Arial"/>
      <family val="2"/>
    </font>
    <font>
      <b/>
      <sz val="12"/>
      <name val="Arial"/>
      <family val="2"/>
    </font>
    <font>
      <b/>
      <sz val="14"/>
      <name val="Arial"/>
      <family val="2"/>
    </font>
    <font>
      <sz val="8"/>
      <color indexed="81"/>
      <name val="Tahoma"/>
    </font>
    <font>
      <b/>
      <sz val="8"/>
      <color indexed="81"/>
      <name val="Tahoma"/>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4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1" applyBorder="0"/>
    <xf numFmtId="180" fontId="1" fillId="0" borderId="0" applyFont="0" applyFill="0" applyBorder="0" applyAlignment="0" applyProtection="0"/>
    <xf numFmtId="182" fontId="1"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178" fontId="1" fillId="0" borderId="0"/>
    <xf numFmtId="9" fontId="1" fillId="0" borderId="0" applyFont="0" applyFill="0" applyBorder="0" applyAlignment="0" applyProtection="0"/>
  </cellStyleXfs>
  <cellXfs count="615">
    <xf numFmtId="0" fontId="0" fillId="0" borderId="0" xfId="0"/>
    <xf numFmtId="0" fontId="2" fillId="0" borderId="0" xfId="0" applyFont="1" applyBorder="1" applyAlignment="1">
      <alignment horizontal="centerContinuous"/>
    </xf>
    <xf numFmtId="0" fontId="2" fillId="0" borderId="0" xfId="0" applyFont="1" applyBorder="1" applyAlignment="1">
      <alignment horizontal="left"/>
    </xf>
    <xf numFmtId="164" fontId="2" fillId="0" borderId="0" xfId="0" applyNumberFormat="1" applyFont="1" applyBorder="1" applyAlignment="1">
      <alignment horizontal="center" wrapText="1"/>
    </xf>
    <xf numFmtId="0" fontId="2" fillId="0" borderId="0" xfId="0" applyFont="1" applyBorder="1"/>
    <xf numFmtId="0" fontId="4" fillId="0" borderId="0" xfId="0" applyFont="1" applyBorder="1"/>
    <xf numFmtId="3" fontId="0" fillId="0" borderId="0" xfId="0" applyNumberFormat="1"/>
    <xf numFmtId="3" fontId="2" fillId="0" borderId="0" xfId="0" applyNumberFormat="1" applyFont="1" applyBorder="1" applyAlignment="1">
      <alignment wrapText="1"/>
    </xf>
    <xf numFmtId="164" fontId="3" fillId="0" borderId="0" xfId="0" applyNumberFormat="1" applyFont="1" applyBorder="1" applyAlignment="1">
      <alignment horizontal="center" wrapText="1"/>
    </xf>
    <xf numFmtId="164" fontId="2" fillId="0" borderId="0" xfId="0" quotePrefix="1" applyNumberFormat="1" applyFont="1" applyBorder="1" applyAlignment="1">
      <alignment horizontal="center" wrapText="1"/>
    </xf>
    <xf numFmtId="3" fontId="0" fillId="0" borderId="1" xfId="0" applyNumberFormat="1" applyBorder="1"/>
    <xf numFmtId="0" fontId="2" fillId="0" borderId="0" xfId="0" applyFont="1"/>
    <xf numFmtId="0" fontId="0" fillId="0" borderId="0" xfId="0" quotePrefix="1" applyAlignment="1">
      <alignment horizontal="left"/>
    </xf>
    <xf numFmtId="0" fontId="0" fillId="0" borderId="0" xfId="0" applyAlignment="1">
      <alignment horizontal="left"/>
    </xf>
    <xf numFmtId="0" fontId="0" fillId="0" borderId="0" xfId="0" applyAlignment="1">
      <alignment horizontal="right"/>
    </xf>
    <xf numFmtId="0" fontId="4" fillId="0" borderId="0" xfId="0" quotePrefix="1" applyFont="1" applyAlignment="1">
      <alignment horizontal="left"/>
    </xf>
    <xf numFmtId="0" fontId="4" fillId="0" borderId="0" xfId="0" applyFont="1"/>
    <xf numFmtId="0" fontId="4" fillId="0" borderId="0" xfId="0" applyFont="1" applyAlignment="1">
      <alignment horizontal="centerContinuous"/>
    </xf>
    <xf numFmtId="0" fontId="0" fillId="0" borderId="0" xfId="0" applyBorder="1"/>
    <xf numFmtId="0" fontId="4" fillId="0" borderId="0" xfId="0" applyFont="1" applyBorder="1" applyAlignment="1">
      <alignment horizontal="left"/>
    </xf>
    <xf numFmtId="0" fontId="2" fillId="0" borderId="0" xfId="0" quotePrefix="1" applyFont="1" applyBorder="1" applyAlignment="1">
      <alignment horizontal="left"/>
    </xf>
    <xf numFmtId="0" fontId="2" fillId="0" borderId="0" xfId="0" applyFont="1" applyAlignment="1">
      <alignment horizontal="left" indent="1"/>
    </xf>
    <xf numFmtId="171" fontId="0" fillId="0" borderId="0" xfId="0" applyNumberFormat="1"/>
    <xf numFmtId="0" fontId="2" fillId="0" borderId="0" xfId="0" applyFont="1" applyBorder="1" applyAlignment="1">
      <alignment horizontal="right"/>
    </xf>
    <xf numFmtId="0" fontId="2" fillId="0" borderId="0" xfId="0" applyFont="1" applyAlignment="1">
      <alignment horizontal="left"/>
    </xf>
    <xf numFmtId="0" fontId="2" fillId="0" borderId="0" xfId="0" quotePrefix="1" applyFont="1" applyAlignment="1">
      <alignment horizontal="left"/>
    </xf>
    <xf numFmtId="2" fontId="0" fillId="0" borderId="0" xfId="0" applyNumberFormat="1" applyBorder="1" applyAlignment="1">
      <alignment horizontal="right"/>
    </xf>
    <xf numFmtId="0" fontId="0" fillId="0" borderId="0" xfId="0" applyFill="1"/>
    <xf numFmtId="0" fontId="0" fillId="0" borderId="0" xfId="0" quotePrefix="1" applyAlignment="1">
      <alignment horizontal="left" indent="1"/>
    </xf>
    <xf numFmtId="10" fontId="0" fillId="0" borderId="0" xfId="0" applyNumberFormat="1"/>
    <xf numFmtId="3" fontId="0" fillId="0" borderId="1" xfId="0" applyNumberFormat="1" applyFill="1" applyBorder="1"/>
    <xf numFmtId="3" fontId="2" fillId="0" borderId="0" xfId="0" applyNumberFormat="1" applyFont="1" applyFill="1"/>
    <xf numFmtId="3" fontId="0" fillId="0" borderId="0" xfId="0" applyNumberFormat="1" applyFill="1"/>
    <xf numFmtId="172" fontId="0" fillId="0" borderId="0" xfId="0" applyNumberFormat="1" applyFill="1"/>
    <xf numFmtId="0" fontId="4" fillId="0" borderId="0" xfId="0" applyFont="1" applyAlignment="1">
      <alignment horizontal="center"/>
    </xf>
    <xf numFmtId="164" fontId="0" fillId="0" borderId="0" xfId="0" applyNumberFormat="1" applyFill="1"/>
    <xf numFmtId="0" fontId="2" fillId="0" borderId="0" xfId="0" applyFont="1" applyAlignment="1">
      <alignment horizontal="centerContinuous"/>
    </xf>
    <xf numFmtId="3" fontId="2" fillId="0" borderId="0" xfId="0" applyNumberFormat="1" applyFont="1" applyBorder="1"/>
    <xf numFmtId="164" fontId="2" fillId="0" borderId="0" xfId="0" applyNumberFormat="1" applyFont="1" applyBorder="1"/>
    <xf numFmtId="165" fontId="2" fillId="0" borderId="0" xfId="0" applyNumberFormat="1" applyFont="1" applyBorder="1"/>
    <xf numFmtId="3" fontId="2" fillId="0" borderId="0" xfId="0" applyNumberFormat="1" applyFont="1" applyBorder="1" applyAlignment="1">
      <alignment horizontal="right" wrapText="1"/>
    </xf>
    <xf numFmtId="164" fontId="2" fillId="0" borderId="0" xfId="0" applyNumberFormat="1" applyFont="1" applyBorder="1" applyAlignment="1">
      <alignment horizontal="right" wrapText="1"/>
    </xf>
    <xf numFmtId="165" fontId="2" fillId="0" borderId="0" xfId="0" applyNumberFormat="1" applyFont="1" applyBorder="1" applyAlignment="1">
      <alignment horizontal="right" wrapText="1"/>
    </xf>
    <xf numFmtId="0" fontId="2" fillId="0" borderId="0" xfId="0" applyFont="1" applyBorder="1" applyAlignment="1">
      <alignment horizontal="left" wrapText="1"/>
    </xf>
    <xf numFmtId="3" fontId="2" fillId="0" borderId="0"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Alignment="1"/>
    <xf numFmtId="0" fontId="2" fillId="0" borderId="0" xfId="0" applyFont="1" applyAlignment="1">
      <alignment horizontal="right"/>
    </xf>
    <xf numFmtId="0" fontId="4" fillId="0" borderId="0" xfId="0" applyFont="1" applyAlignment="1">
      <alignment horizontal="left"/>
    </xf>
    <xf numFmtId="2" fontId="2" fillId="0" borderId="0" xfId="0" applyNumberFormat="1" applyFont="1" applyBorder="1"/>
    <xf numFmtId="0" fontId="2" fillId="0" borderId="0" xfId="0" applyFont="1" applyAlignment="1">
      <alignment horizontal="center"/>
    </xf>
    <xf numFmtId="165" fontId="2" fillId="0" borderId="0" xfId="0" applyNumberFormat="1" applyFont="1"/>
    <xf numFmtId="3" fontId="2" fillId="0" borderId="0" xfId="0" applyNumberFormat="1" applyFont="1"/>
    <xf numFmtId="175" fontId="2" fillId="0" borderId="0" xfId="0" applyNumberFormat="1" applyFont="1" applyFill="1" applyBorder="1" applyAlignment="1">
      <alignment horizontal="right" wrapText="1"/>
    </xf>
    <xf numFmtId="175" fontId="2" fillId="0" borderId="0" xfId="0" applyNumberFormat="1" applyFont="1" applyFill="1" applyBorder="1" applyAlignment="1">
      <alignment horizontal="right"/>
    </xf>
    <xf numFmtId="168" fontId="2" fillId="0" borderId="0" xfId="0" applyNumberFormat="1" applyFont="1" applyBorder="1" applyAlignment="1">
      <alignment horizontal="right" wrapText="1"/>
    </xf>
    <xf numFmtId="168" fontId="2" fillId="0" borderId="0" xfId="0" applyNumberFormat="1" applyFont="1" applyBorder="1" applyAlignment="1">
      <alignment horizontal="right"/>
    </xf>
    <xf numFmtId="0" fontId="2" fillId="0" borderId="0" xfId="0" applyFont="1" applyBorder="1" applyAlignment="1">
      <alignment wrapText="1"/>
    </xf>
    <xf numFmtId="168" fontId="2" fillId="0" borderId="0" xfId="0" applyNumberFormat="1" applyFont="1" applyAlignment="1">
      <alignment horizontal="centerContinuous"/>
    </xf>
    <xf numFmtId="172" fontId="2" fillId="0" borderId="0" xfId="0" applyNumberFormat="1" applyFont="1" applyAlignment="1">
      <alignment horizontal="centerContinuous"/>
    </xf>
    <xf numFmtId="164" fontId="2" fillId="0" borderId="0" xfId="0" applyNumberFormat="1" applyFont="1" applyAlignment="1">
      <alignment horizontal="centerContinuous"/>
    </xf>
    <xf numFmtId="168" fontId="2" fillId="0" borderId="0" xfId="0" applyNumberFormat="1" applyFont="1"/>
    <xf numFmtId="172" fontId="2" fillId="0" borderId="0" xfId="0" applyNumberFormat="1" applyFont="1"/>
    <xf numFmtId="164" fontId="2" fillId="0" borderId="0" xfId="0" applyNumberFormat="1" applyFont="1"/>
    <xf numFmtId="168" fontId="2" fillId="0" borderId="0" xfId="0" applyNumberFormat="1" applyFont="1" applyBorder="1"/>
    <xf numFmtId="0" fontId="2" fillId="0" borderId="0" xfId="0" applyFont="1" applyFill="1" applyBorder="1"/>
    <xf numFmtId="165" fontId="2" fillId="0" borderId="0" xfId="0" applyNumberFormat="1" applyFont="1" applyFill="1" applyBorder="1" applyAlignment="1">
      <alignment horizontal="right"/>
    </xf>
    <xf numFmtId="175" fontId="2" fillId="0" borderId="0" xfId="0" applyNumberFormat="1" applyFont="1" applyBorder="1" applyAlignment="1">
      <alignment horizontal="left" wrapText="1"/>
    </xf>
    <xf numFmtId="168" fontId="8" fillId="0" borderId="0" xfId="0" applyNumberFormat="1" applyFont="1" applyBorder="1"/>
    <xf numFmtId="165" fontId="8" fillId="0" borderId="0" xfId="0" applyNumberFormat="1" applyFont="1" applyBorder="1"/>
    <xf numFmtId="164" fontId="8" fillId="0" borderId="0" xfId="0" applyNumberFormat="1" applyFont="1" applyBorder="1"/>
    <xf numFmtId="175" fontId="2" fillId="0" borderId="0" xfId="0" applyNumberFormat="1" applyFont="1" applyBorder="1" applyAlignment="1">
      <alignment horizontal="right" wrapText="1"/>
    </xf>
    <xf numFmtId="2" fontId="2" fillId="0" borderId="0" xfId="0" applyNumberFormat="1" applyFont="1" applyAlignment="1">
      <alignment horizontal="centerContinuous"/>
    </xf>
    <xf numFmtId="10" fontId="2" fillId="0" borderId="0" xfId="0" applyNumberFormat="1" applyFont="1" applyFill="1" applyBorder="1" applyAlignment="1">
      <alignment horizontal="center" wrapText="1"/>
    </xf>
    <xf numFmtId="10" fontId="2" fillId="0" borderId="0" xfId="0" applyNumberFormat="1" applyFont="1" applyFill="1" applyBorder="1" applyAlignment="1">
      <alignment horizontal="right" wrapText="1"/>
    </xf>
    <xf numFmtId="10" fontId="2" fillId="0" borderId="0" xfId="0" applyNumberFormat="1" applyFont="1" applyFill="1" applyBorder="1" applyAlignment="1">
      <alignment horizontal="right"/>
    </xf>
    <xf numFmtId="2" fontId="2" fillId="0" borderId="0" xfId="0" applyNumberFormat="1" applyFont="1"/>
    <xf numFmtId="10" fontId="2" fillId="0" borderId="0" xfId="0" applyNumberFormat="1" applyFont="1" applyFill="1"/>
    <xf numFmtId="175" fontId="2" fillId="0" borderId="0" xfId="0" applyNumberFormat="1" applyFont="1" applyBorder="1" applyAlignment="1">
      <alignment horizontal="right"/>
    </xf>
    <xf numFmtId="175" fontId="2" fillId="0" borderId="0" xfId="0" applyNumberFormat="1" applyFont="1" applyBorder="1"/>
    <xf numFmtId="0" fontId="2" fillId="0" borderId="0" xfId="0" applyFont="1" applyAlignment="1">
      <alignment horizontal="left" indent="2"/>
    </xf>
    <xf numFmtId="0" fontId="2" fillId="0" borderId="0" xfId="0" quotePrefix="1" applyFont="1" applyAlignment="1">
      <alignment horizontal="left" indent="2"/>
    </xf>
    <xf numFmtId="171" fontId="2" fillId="0" borderId="0" xfId="0" applyNumberFormat="1" applyFont="1" applyBorder="1" applyAlignment="1">
      <alignment horizontal="right" wrapText="1"/>
    </xf>
    <xf numFmtId="170" fontId="2" fillId="0" borderId="0" xfId="0" applyNumberFormat="1" applyFont="1"/>
    <xf numFmtId="171" fontId="2" fillId="0" borderId="0" xfId="0" applyNumberFormat="1" applyFont="1" applyBorder="1" applyAlignment="1">
      <alignment horizontal="right"/>
    </xf>
    <xf numFmtId="171" fontId="2" fillId="0" borderId="0" xfId="0" applyNumberFormat="1" applyFont="1"/>
    <xf numFmtId="10" fontId="2" fillId="0" borderId="0" xfId="0" quotePrefix="1" applyNumberFormat="1" applyFont="1" applyFill="1" applyBorder="1" applyAlignment="1">
      <alignment horizontal="center" wrapText="1"/>
    </xf>
    <xf numFmtId="171" fontId="2" fillId="0" borderId="0" xfId="0" applyNumberFormat="1" applyFont="1" applyBorder="1"/>
    <xf numFmtId="0" fontId="2" fillId="0" borderId="0" xfId="0" quotePrefix="1" applyFont="1" applyAlignment="1">
      <alignment horizontal="left" indent="1"/>
    </xf>
    <xf numFmtId="10" fontId="2" fillId="0" borderId="0" xfId="0" applyNumberFormat="1" applyFont="1"/>
    <xf numFmtId="0" fontId="4" fillId="0" borderId="0" xfId="0" quotePrefix="1" applyFont="1" applyBorder="1" applyAlignment="1">
      <alignment horizontal="left"/>
    </xf>
    <xf numFmtId="171" fontId="2" fillId="0" borderId="0" xfId="0" applyNumberFormat="1" applyFont="1" applyAlignment="1">
      <alignment horizontal="right"/>
    </xf>
    <xf numFmtId="2" fontId="2" fillId="0" borderId="0" xfId="0" applyNumberFormat="1" applyFont="1" applyAlignment="1">
      <alignment horizontal="left"/>
    </xf>
    <xf numFmtId="168" fontId="2" fillId="0" borderId="0" xfId="0" applyNumberFormat="1" applyFont="1" applyAlignment="1">
      <alignment horizontal="left"/>
    </xf>
    <xf numFmtId="172" fontId="2" fillId="0" borderId="0" xfId="0" applyNumberFormat="1" applyFont="1" applyAlignment="1">
      <alignment horizontal="left"/>
    </xf>
    <xf numFmtId="164" fontId="2" fillId="0" borderId="0" xfId="0" applyNumberFormat="1" applyFont="1" applyAlignment="1">
      <alignment horizontal="left"/>
    </xf>
    <xf numFmtId="0" fontId="2" fillId="0" borderId="0" xfId="0" applyFont="1" applyBorder="1" applyAlignment="1">
      <alignment horizontal="left" indent="1"/>
    </xf>
    <xf numFmtId="0" fontId="2" fillId="0" borderId="0" xfId="0" quotePrefix="1" applyFont="1" applyBorder="1" applyAlignment="1">
      <alignment horizontal="left" indent="1"/>
    </xf>
    <xf numFmtId="0" fontId="2" fillId="0" borderId="0" xfId="0" applyFont="1" applyBorder="1" applyAlignment="1">
      <alignment horizontal="left" indent="2"/>
    </xf>
    <xf numFmtId="0" fontId="2" fillId="0" borderId="0" xfId="0" quotePrefix="1" applyFont="1" applyBorder="1" applyAlignment="1">
      <alignment horizontal="left" indent="2"/>
    </xf>
    <xf numFmtId="0" fontId="0" fillId="0" borderId="0" xfId="0" quotePrefix="1" applyBorder="1" applyAlignment="1">
      <alignment horizontal="left" wrapText="1" indent="1"/>
    </xf>
    <xf numFmtId="0" fontId="3" fillId="0" borderId="0" xfId="0" applyFont="1" applyBorder="1"/>
    <xf numFmtId="171" fontId="2" fillId="0" borderId="0" xfId="0" applyNumberFormat="1" applyFont="1" applyBorder="1" applyAlignment="1">
      <alignment horizontal="center"/>
    </xf>
    <xf numFmtId="175" fontId="2" fillId="0" borderId="0" xfId="0" applyNumberFormat="1" applyFont="1" applyFill="1" applyBorder="1" applyAlignment="1">
      <alignment horizontal="center" wrapText="1"/>
    </xf>
    <xf numFmtId="3" fontId="0" fillId="0" borderId="0" xfId="0" applyNumberFormat="1" applyAlignment="1">
      <alignment horizontal="right"/>
    </xf>
    <xf numFmtId="0" fontId="10" fillId="0" borderId="0" xfId="0" applyFont="1" applyAlignment="1">
      <alignment horizontal="right"/>
    </xf>
    <xf numFmtId="0" fontId="0" fillId="0" borderId="0" xfId="0" applyAlignment="1">
      <alignment horizontal="centerContinuous"/>
    </xf>
    <xf numFmtId="0" fontId="10" fillId="0" borderId="0" xfId="0" applyFont="1" applyAlignment="1">
      <alignment horizontal="centerContinuous"/>
    </xf>
    <xf numFmtId="10" fontId="2" fillId="0" borderId="0" xfId="0" applyNumberFormat="1" applyFont="1" applyBorder="1"/>
    <xf numFmtId="0" fontId="0" fillId="0" borderId="0" xfId="0" applyBorder="1" applyAlignment="1">
      <alignment horizontal="left" indent="1"/>
    </xf>
    <xf numFmtId="0" fontId="4" fillId="0" borderId="0" xfId="0" applyFont="1" applyAlignment="1">
      <alignment horizontal="left" indent="2"/>
    </xf>
    <xf numFmtId="0" fontId="0" fillId="0" borderId="0" xfId="0" quotePrefix="1" applyBorder="1" applyAlignment="1">
      <alignment horizontal="left" indent="1"/>
    </xf>
    <xf numFmtId="165" fontId="0" fillId="0" borderId="0" xfId="0" applyNumberFormat="1" applyBorder="1"/>
    <xf numFmtId="0" fontId="0" fillId="0" borderId="0" xfId="0" quotePrefix="1" applyBorder="1" applyAlignment="1">
      <alignment horizontal="left" wrapText="1" indent="2"/>
    </xf>
    <xf numFmtId="172" fontId="0" fillId="0" borderId="0" xfId="0" applyNumberFormat="1" applyBorder="1" applyAlignment="1">
      <alignment horizontal="right"/>
    </xf>
    <xf numFmtId="164" fontId="0" fillId="0" borderId="2" xfId="0" quotePrefix="1" applyNumberFormat="1" applyFill="1" applyBorder="1" applyAlignment="1">
      <alignment horizontal="center"/>
    </xf>
    <xf numFmtId="169" fontId="0" fillId="0" borderId="0" xfId="0" applyNumberFormat="1" applyAlignment="1">
      <alignment horizontal="right"/>
    </xf>
    <xf numFmtId="9" fontId="0" fillId="0" borderId="0" xfId="0" applyNumberFormat="1"/>
    <xf numFmtId="172" fontId="0" fillId="0" borderId="0" xfId="0" applyNumberFormat="1" applyFill="1" applyAlignment="1">
      <alignment horizontal="right"/>
    </xf>
    <xf numFmtId="170" fontId="0" fillId="0" borderId="0" xfId="0" applyNumberFormat="1"/>
    <xf numFmtId="171" fontId="0" fillId="0" borderId="0" xfId="0" applyNumberFormat="1" applyAlignment="1">
      <alignment horizontal="right"/>
    </xf>
    <xf numFmtId="0" fontId="0" fillId="2" borderId="0" xfId="0" applyFill="1" applyBorder="1"/>
    <xf numFmtId="0" fontId="0" fillId="2" borderId="0" xfId="0" applyFill="1" applyBorder="1" applyAlignment="1">
      <alignment horizontal="right"/>
    </xf>
    <xf numFmtId="174" fontId="0" fillId="2" borderId="0" xfId="0" applyNumberFormat="1" applyFill="1" applyBorder="1"/>
    <xf numFmtId="0" fontId="2" fillId="0" borderId="0" xfId="0" quotePrefix="1" applyFont="1" applyFill="1" applyBorder="1" applyAlignment="1">
      <alignment horizontal="left"/>
    </xf>
    <xf numFmtId="0" fontId="2" fillId="2" borderId="0" xfId="0" applyFont="1" applyFill="1"/>
    <xf numFmtId="0" fontId="2" fillId="2" borderId="0" xfId="0" applyFont="1" applyFill="1" applyAlignment="1">
      <alignment horizontal="right"/>
    </xf>
    <xf numFmtId="176" fontId="2" fillId="2" borderId="0" xfId="0" applyNumberFormat="1" applyFont="1" applyFill="1"/>
    <xf numFmtId="3" fontId="2" fillId="2" borderId="0" xfId="0" applyNumberFormat="1" applyFont="1" applyFill="1"/>
    <xf numFmtId="164" fontId="2" fillId="2" borderId="0" xfId="0" applyNumberFormat="1" applyFont="1" applyFill="1"/>
    <xf numFmtId="0" fontId="4" fillId="0" borderId="0" xfId="0" quotePrefix="1" applyFont="1" applyBorder="1" applyAlignment="1">
      <alignment horizontal="right"/>
    </xf>
    <xf numFmtId="0" fontId="0" fillId="2" borderId="0" xfId="0" applyFill="1"/>
    <xf numFmtId="176" fontId="0" fillId="2" borderId="0" xfId="0" applyNumberFormat="1" applyFill="1"/>
    <xf numFmtId="176" fontId="0" fillId="0" borderId="0" xfId="0" applyNumberFormat="1" applyFill="1"/>
    <xf numFmtId="3" fontId="2" fillId="0" borderId="0" xfId="0" applyNumberFormat="1" applyFont="1" applyAlignment="1">
      <alignment horizontal="right"/>
    </xf>
    <xf numFmtId="164" fontId="2" fillId="0" borderId="0" xfId="0" quotePrefix="1" applyNumberFormat="1" applyFont="1" applyAlignment="1">
      <alignment horizontal="left"/>
    </xf>
    <xf numFmtId="3" fontId="0" fillId="2" borderId="0" xfId="0" applyNumberFormat="1" applyFill="1"/>
    <xf numFmtId="177" fontId="2" fillId="2" borderId="0" xfId="0" applyNumberFormat="1" applyFont="1" applyFill="1"/>
    <xf numFmtId="176" fontId="2" fillId="2" borderId="0" xfId="0" applyNumberFormat="1" applyFont="1" applyFill="1" applyBorder="1"/>
    <xf numFmtId="0" fontId="2" fillId="0" borderId="0" xfId="0" applyFont="1" applyFill="1"/>
    <xf numFmtId="0" fontId="2" fillId="0" borderId="1" xfId="0" applyFont="1" applyBorder="1"/>
    <xf numFmtId="176" fontId="0" fillId="0" borderId="0" xfId="0" applyNumberFormat="1" applyAlignment="1">
      <alignment horizontal="right"/>
    </xf>
    <xf numFmtId="177" fontId="0" fillId="2" borderId="0" xfId="0" applyNumberFormat="1" applyFill="1"/>
    <xf numFmtId="0" fontId="2" fillId="0" borderId="1" xfId="0" quotePrefix="1" applyFont="1" applyBorder="1" applyAlignment="1">
      <alignment horizontal="left"/>
    </xf>
    <xf numFmtId="0" fontId="2" fillId="0" borderId="0" xfId="0" quotePrefix="1" applyFont="1" applyFill="1" applyAlignment="1">
      <alignment horizontal="left"/>
    </xf>
    <xf numFmtId="165" fontId="2" fillId="0" borderId="0" xfId="0" quotePrefix="1" applyNumberFormat="1" applyFont="1" applyBorder="1" applyAlignment="1">
      <alignment horizontal="right" wrapText="1"/>
    </xf>
    <xf numFmtId="165" fontId="0" fillId="0" borderId="0" xfId="0" applyNumberFormat="1" applyBorder="1" applyAlignment="1">
      <alignment horizontal="righ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0" xfId="0" applyFill="1" applyBorder="1"/>
    <xf numFmtId="164" fontId="2" fillId="0" borderId="6" xfId="0" applyNumberFormat="1" applyFont="1" applyBorder="1" applyAlignment="1">
      <alignment horizontal="center"/>
    </xf>
    <xf numFmtId="171" fontId="0" fillId="0" borderId="2" xfId="0" applyNumberFormat="1" applyFill="1" applyBorder="1"/>
    <xf numFmtId="171" fontId="2" fillId="0" borderId="2" xfId="0" applyNumberFormat="1" applyFont="1" applyFill="1" applyBorder="1"/>
    <xf numFmtId="164" fontId="2" fillId="0" borderId="7" xfId="0" applyNumberFormat="1" applyFont="1" applyBorder="1" applyAlignment="1">
      <alignment horizontal="center"/>
    </xf>
    <xf numFmtId="0" fontId="2" fillId="0" borderId="1" xfId="0" applyFont="1" applyBorder="1" applyAlignment="1">
      <alignment horizontal="center"/>
    </xf>
    <xf numFmtId="0" fontId="11" fillId="0" borderId="0" xfId="0" quotePrefix="1" applyFont="1" applyBorder="1" applyAlignment="1">
      <alignment horizontal="left"/>
    </xf>
    <xf numFmtId="0" fontId="11" fillId="0" borderId="0" xfId="0" quotePrefix="1" applyFont="1" applyAlignment="1">
      <alignment horizontal="left"/>
    </xf>
    <xf numFmtId="0" fontId="2" fillId="0" borderId="0" xfId="0" applyFont="1" applyBorder="1" applyAlignment="1">
      <alignment horizontal="right" wrapText="1"/>
    </xf>
    <xf numFmtId="0" fontId="2" fillId="0" borderId="0" xfId="0" quotePrefix="1" applyFont="1" applyBorder="1" applyAlignment="1">
      <alignment horizontal="right" wrapText="1"/>
    </xf>
    <xf numFmtId="0" fontId="3" fillId="0" borderId="0" xfId="0" applyFont="1" applyBorder="1" applyAlignment="1">
      <alignment horizontal="right" wrapText="1"/>
    </xf>
    <xf numFmtId="173" fontId="2" fillId="0" borderId="0" xfId="0" applyNumberFormat="1" applyFont="1"/>
    <xf numFmtId="10" fontId="2" fillId="0" borderId="0" xfId="7" applyNumberFormat="1" applyFont="1" applyBorder="1"/>
    <xf numFmtId="0" fontId="0" fillId="0" borderId="0" xfId="0" applyAlignment="1">
      <alignment horizontal="left" indent="1"/>
    </xf>
    <xf numFmtId="165" fontId="0" fillId="0" borderId="0" xfId="0" applyNumberFormat="1"/>
    <xf numFmtId="10" fontId="0" fillId="0" borderId="0" xfId="7" applyNumberFormat="1" applyFont="1"/>
    <xf numFmtId="0" fontId="12" fillId="0" borderId="0" xfId="0" applyFont="1" applyAlignment="1">
      <alignment horizontal="centerContinuous"/>
    </xf>
    <xf numFmtId="3" fontId="2" fillId="0" borderId="0" xfId="0" quotePrefix="1" applyNumberFormat="1" applyFont="1" applyBorder="1" applyAlignment="1">
      <alignment horizontal="right" wrapText="1"/>
    </xf>
    <xf numFmtId="164" fontId="3" fillId="0" borderId="0" xfId="0" quotePrefix="1" applyNumberFormat="1" applyFont="1" applyBorder="1" applyAlignment="1">
      <alignment horizontal="right" wrapText="1"/>
    </xf>
    <xf numFmtId="166" fontId="3" fillId="0" borderId="0" xfId="0" applyNumberFormat="1" applyFont="1" applyBorder="1" applyAlignment="1">
      <alignment horizontal="right" wrapText="1"/>
    </xf>
    <xf numFmtId="167" fontId="2" fillId="0" borderId="0" xfId="0" quotePrefix="1" applyNumberFormat="1" applyFont="1" applyBorder="1" applyAlignment="1">
      <alignment horizontal="right" wrapText="1"/>
    </xf>
    <xf numFmtId="171" fontId="2" fillId="0" borderId="1" xfId="0" applyNumberFormat="1" applyFont="1" applyBorder="1" applyAlignment="1">
      <alignment horizontal="right" wrapText="1"/>
    </xf>
    <xf numFmtId="171" fontId="4" fillId="0" borderId="0" xfId="0" applyNumberFormat="1" applyFont="1" applyBorder="1" applyAlignment="1">
      <alignment horizontal="right" wrapText="1"/>
    </xf>
    <xf numFmtId="165" fontId="2" fillId="0" borderId="1" xfId="0" applyNumberFormat="1" applyFont="1" applyBorder="1" applyAlignment="1">
      <alignment horizontal="right" wrapText="1"/>
    </xf>
    <xf numFmtId="165" fontId="0" fillId="0" borderId="0" xfId="0" applyNumberFormat="1" applyAlignment="1">
      <alignment horizontal="right"/>
    </xf>
    <xf numFmtId="164" fontId="2" fillId="0" borderId="0" xfId="0" quotePrefix="1" applyNumberFormat="1" applyFont="1" applyBorder="1" applyAlignment="1">
      <alignment horizontal="right" wrapText="1"/>
    </xf>
    <xf numFmtId="0" fontId="2" fillId="0" borderId="0" xfId="0" quotePrefix="1" applyFont="1" applyAlignment="1">
      <alignment horizontal="right" wrapText="1"/>
    </xf>
    <xf numFmtId="0" fontId="3" fillId="0" borderId="0" xfId="0" applyFont="1" applyAlignment="1">
      <alignment horizontal="right"/>
    </xf>
    <xf numFmtId="175" fontId="2" fillId="0" borderId="0" xfId="0" applyNumberFormat="1" applyFont="1" applyAlignment="1">
      <alignment horizontal="right"/>
    </xf>
    <xf numFmtId="171" fontId="2" fillId="0" borderId="0" xfId="0" applyNumberFormat="1" applyFont="1" applyFill="1" applyAlignment="1">
      <alignment horizontal="right"/>
    </xf>
    <xf numFmtId="10" fontId="2" fillId="0" borderId="0" xfId="0" applyNumberFormat="1" applyFont="1" applyAlignment="1">
      <alignment horizontal="right"/>
    </xf>
    <xf numFmtId="9" fontId="2" fillId="0" borderId="0" xfId="0" applyNumberFormat="1" applyFont="1" applyAlignment="1">
      <alignment horizontal="right"/>
    </xf>
    <xf numFmtId="0" fontId="3" fillId="0" borderId="0" xfId="0" quotePrefix="1" applyFont="1" applyBorder="1" applyAlignment="1">
      <alignment horizontal="right" wrapText="1"/>
    </xf>
    <xf numFmtId="3" fontId="2" fillId="0" borderId="0" xfId="0" applyNumberFormat="1" applyFont="1" applyBorder="1" applyAlignment="1"/>
    <xf numFmtId="172" fontId="2" fillId="0" borderId="0" xfId="0" applyNumberFormat="1" applyFont="1" applyBorder="1" applyAlignment="1">
      <alignment wrapText="1"/>
    </xf>
    <xf numFmtId="171" fontId="2" fillId="0" borderId="0" xfId="0" applyNumberFormat="1" applyFont="1" applyBorder="1" applyAlignment="1">
      <alignment wrapText="1"/>
    </xf>
    <xf numFmtId="171" fontId="2" fillId="0" borderId="0" xfId="0" applyNumberFormat="1" applyFont="1" applyBorder="1" applyAlignment="1"/>
    <xf numFmtId="0" fontId="2" fillId="0" borderId="0" xfId="0" applyFont="1" applyBorder="1" applyAlignment="1"/>
    <xf numFmtId="168" fontId="2" fillId="0" borderId="0" xfId="0" quotePrefix="1" applyNumberFormat="1" applyFont="1" applyBorder="1" applyAlignment="1">
      <alignment horizontal="right" wrapText="1"/>
    </xf>
    <xf numFmtId="0" fontId="2" fillId="0" borderId="0" xfId="0" quotePrefix="1" applyFont="1" applyFill="1" applyBorder="1" applyAlignment="1">
      <alignment horizontal="right" wrapText="1"/>
    </xf>
    <xf numFmtId="165" fontId="2" fillId="0" borderId="0" xfId="0" applyNumberFormat="1" applyFont="1" applyBorder="1" applyAlignment="1"/>
    <xf numFmtId="175" fontId="2" fillId="0" borderId="0" xfId="0" applyNumberFormat="1" applyFont="1" applyBorder="1" applyAlignment="1">
      <alignment wrapText="1"/>
    </xf>
    <xf numFmtId="165" fontId="2" fillId="0" borderId="0" xfId="0" applyNumberFormat="1" applyFont="1" applyBorder="1" applyAlignment="1">
      <alignment wrapText="1"/>
    </xf>
    <xf numFmtId="164" fontId="2" fillId="0" borderId="0" xfId="0" applyNumberFormat="1" applyFont="1" applyBorder="1" applyAlignment="1"/>
    <xf numFmtId="175" fontId="2" fillId="0" borderId="0" xfId="0" applyNumberFormat="1" applyFont="1" applyBorder="1" applyAlignment="1"/>
    <xf numFmtId="165" fontId="2" fillId="0" borderId="0" xfId="0" applyNumberFormat="1" applyFont="1" applyAlignment="1">
      <alignment horizontal="right"/>
    </xf>
    <xf numFmtId="3" fontId="2" fillId="0" borderId="0" xfId="0" applyNumberFormat="1" applyFont="1" applyFill="1" applyAlignment="1">
      <alignment horizontal="right"/>
    </xf>
    <xf numFmtId="164" fontId="3" fillId="0" borderId="0" xfId="0" applyNumberFormat="1" applyFont="1" applyBorder="1" applyAlignment="1">
      <alignment horizontal="right" wrapText="1"/>
    </xf>
    <xf numFmtId="10" fontId="2" fillId="0" borderId="0" xfId="0" quotePrefix="1" applyNumberFormat="1" applyFont="1" applyFill="1" applyBorder="1" applyAlignment="1">
      <alignment horizontal="right" wrapText="1"/>
    </xf>
    <xf numFmtId="3" fontId="6" fillId="0" borderId="0" xfId="0" applyNumberFormat="1" applyFont="1" applyAlignment="1">
      <alignment horizontal="right"/>
    </xf>
    <xf numFmtId="171" fontId="3" fillId="0" borderId="0" xfId="0" applyNumberFormat="1" applyFont="1" applyBorder="1" applyAlignment="1">
      <alignment horizontal="right" wrapText="1"/>
    </xf>
    <xf numFmtId="164" fontId="2" fillId="0" borderId="0" xfId="0" applyNumberFormat="1" applyFont="1" applyAlignment="1">
      <alignment horizontal="right"/>
    </xf>
    <xf numFmtId="10" fontId="2" fillId="0" borderId="0" xfId="0" applyNumberFormat="1" applyFont="1" applyFill="1" applyAlignment="1">
      <alignment horizontal="right"/>
    </xf>
    <xf numFmtId="165" fontId="3" fillId="0" borderId="0" xfId="0" applyNumberFormat="1" applyFont="1" applyBorder="1" applyAlignment="1">
      <alignment horizontal="right" wrapText="1"/>
    </xf>
    <xf numFmtId="165" fontId="3" fillId="0" borderId="0" xfId="0" quotePrefix="1" applyNumberFormat="1" applyFont="1" applyBorder="1" applyAlignment="1">
      <alignment horizontal="right" wrapText="1"/>
    </xf>
    <xf numFmtId="2" fontId="0" fillId="0" borderId="0" xfId="0" applyNumberFormat="1" applyAlignment="1">
      <alignment horizontal="right"/>
    </xf>
    <xf numFmtId="175" fontId="0" fillId="0" borderId="0" xfId="7" applyNumberFormat="1" applyFont="1" applyAlignment="1">
      <alignment horizontal="right"/>
    </xf>
    <xf numFmtId="2" fontId="2" fillId="0" borderId="0" xfId="0" applyNumberFormat="1" applyFont="1" applyAlignment="1">
      <alignment horizontal="right"/>
    </xf>
    <xf numFmtId="2" fontId="10" fillId="0" borderId="0" xfId="0" applyNumberFormat="1" applyFont="1" applyAlignment="1">
      <alignment horizontal="right"/>
    </xf>
    <xf numFmtId="174" fontId="2" fillId="0" borderId="0" xfId="0" applyNumberFormat="1" applyFont="1" applyAlignment="1">
      <alignment horizontal="center"/>
    </xf>
    <xf numFmtId="171" fontId="2" fillId="0" borderId="0" xfId="0" applyNumberFormat="1" applyFont="1" applyAlignment="1"/>
    <xf numFmtId="165" fontId="2" fillId="0" borderId="0" xfId="0" applyNumberFormat="1" applyFont="1" applyAlignment="1"/>
    <xf numFmtId="2" fontId="2" fillId="0" borderId="0" xfId="0" applyNumberFormat="1" applyFont="1" applyBorder="1" applyAlignment="1"/>
    <xf numFmtId="2" fontId="2" fillId="0" borderId="0" xfId="0" applyNumberFormat="1" applyFont="1" applyAlignment="1"/>
    <xf numFmtId="172" fontId="2" fillId="0" borderId="0" xfId="0" applyNumberFormat="1" applyFont="1" applyAlignment="1"/>
    <xf numFmtId="164" fontId="2" fillId="0" borderId="0" xfId="0" applyNumberFormat="1" applyFont="1" applyAlignment="1"/>
    <xf numFmtId="172" fontId="2" fillId="0" borderId="0" xfId="0" applyNumberFormat="1" applyFont="1" applyBorder="1" applyAlignment="1"/>
    <xf numFmtId="168" fontId="2" fillId="0" borderId="0" xfId="0" applyNumberFormat="1" applyFont="1" applyAlignment="1"/>
    <xf numFmtId="3" fontId="0" fillId="0" borderId="0" xfId="0" applyNumberFormat="1" applyBorder="1" applyAlignment="1">
      <alignment horizontal="center"/>
    </xf>
    <xf numFmtId="0" fontId="0" fillId="0" borderId="0" xfId="0" quotePrefix="1" applyBorder="1" applyAlignment="1">
      <alignment horizontal="right" wrapText="1"/>
    </xf>
    <xf numFmtId="0" fontId="0" fillId="0" borderId="0" xfId="0" applyBorder="1" applyAlignment="1">
      <alignment horizontal="right"/>
    </xf>
    <xf numFmtId="0" fontId="0" fillId="0" borderId="0" xfId="0" quotePrefix="1" applyFill="1" applyBorder="1" applyAlignment="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3" fillId="0" borderId="0" xfId="0" quotePrefix="1" applyNumberFormat="1" applyFont="1" applyBorder="1" applyAlignment="1">
      <alignment horizontal="right"/>
    </xf>
    <xf numFmtId="10" fontId="2" fillId="0" borderId="0" xfId="0" applyNumberFormat="1" applyFont="1" applyBorder="1" applyAlignment="1">
      <alignment horizontal="right"/>
    </xf>
    <xf numFmtId="0" fontId="2" fillId="0" borderId="8" xfId="0" quotePrefix="1"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2" fillId="0" borderId="7" xfId="0" applyNumberFormat="1" applyFont="1" applyBorder="1" applyAlignment="1">
      <alignment horizontal="right"/>
    </xf>
    <xf numFmtId="164" fontId="2" fillId="0" borderId="6" xfId="0" quotePrefix="1" applyNumberFormat="1" applyFont="1" applyBorder="1" applyAlignment="1">
      <alignment horizontal="right"/>
    </xf>
    <xf numFmtId="174" fontId="0" fillId="0" borderId="0" xfId="0" applyNumberFormat="1"/>
    <xf numFmtId="2" fontId="2" fillId="0" borderId="0" xfId="0" applyNumberFormat="1" applyFont="1" applyBorder="1" applyAlignment="1">
      <alignment horizontal="center"/>
    </xf>
    <xf numFmtId="2" fontId="3" fillId="0" borderId="0" xfId="0" applyNumberFormat="1" applyFont="1" applyAlignment="1">
      <alignment horizontal="right"/>
    </xf>
    <xf numFmtId="2" fontId="10" fillId="0" borderId="0" xfId="0" applyNumberFormat="1" applyFont="1" applyAlignment="1">
      <alignment horizontal="centerContinuous"/>
    </xf>
    <xf numFmtId="2" fontId="0" fillId="0" borderId="0" xfId="0" applyNumberFormat="1" applyAlignment="1">
      <alignment horizontal="centerContinuous"/>
    </xf>
    <xf numFmtId="0" fontId="0" fillId="0" borderId="0" xfId="0" quotePrefix="1" applyAlignment="1">
      <alignment horizontal="left" indent="2"/>
    </xf>
    <xf numFmtId="177" fontId="0" fillId="0" borderId="0" xfId="0" applyNumberFormat="1" applyFill="1"/>
    <xf numFmtId="0" fontId="0" fillId="0" borderId="0" xfId="0" quotePrefix="1" applyFill="1" applyAlignment="1">
      <alignment horizontal="left"/>
    </xf>
    <xf numFmtId="176" fontId="2" fillId="0" borderId="0" xfId="0" applyNumberFormat="1" applyFont="1" applyAlignment="1">
      <alignment horizontal="right"/>
    </xf>
    <xf numFmtId="164" fontId="2" fillId="0" borderId="0" xfId="0" applyNumberFormat="1" applyFont="1" applyFill="1" applyBorder="1"/>
    <xf numFmtId="10" fontId="2" fillId="0" borderId="0" xfId="0" applyNumberFormat="1" applyFont="1" applyFill="1" applyBorder="1"/>
    <xf numFmtId="171" fontId="2" fillId="0" borderId="0" xfId="0" applyNumberFormat="1" applyFont="1" applyFill="1" applyBorder="1" applyAlignment="1">
      <alignment horizontal="center"/>
    </xf>
    <xf numFmtId="0" fontId="0" fillId="0" borderId="11" xfId="0" applyBorder="1" applyAlignment="1">
      <alignment horizontal="center"/>
    </xf>
    <xf numFmtId="0" fontId="0" fillId="0" borderId="9" xfId="0" applyBorder="1"/>
    <xf numFmtId="0" fontId="0" fillId="0" borderId="12" xfId="0" applyBorder="1" applyAlignment="1">
      <alignment horizontal="center"/>
    </xf>
    <xf numFmtId="0" fontId="0" fillId="0" borderId="8" xfId="0" applyBorder="1" applyAlignment="1">
      <alignment horizontal="center"/>
    </xf>
    <xf numFmtId="0" fontId="4" fillId="0" borderId="6" xfId="0" applyFont="1" applyFill="1" applyBorder="1"/>
    <xf numFmtId="164" fontId="4" fillId="0" borderId="2" xfId="0" applyNumberFormat="1" applyFont="1" applyFill="1" applyBorder="1" applyAlignment="1">
      <alignment horizontal="center"/>
    </xf>
    <xf numFmtId="0" fontId="4" fillId="0" borderId="13" xfId="0" applyFont="1" applyFill="1" applyBorder="1" applyAlignment="1">
      <alignment horizontal="center"/>
    </xf>
    <xf numFmtId="0" fontId="4" fillId="0" borderId="2" xfId="0" applyFont="1" applyFill="1" applyBorder="1"/>
    <xf numFmtId="164" fontId="0" fillId="0" borderId="2" xfId="0" applyNumberFormat="1" applyFill="1" applyBorder="1"/>
    <xf numFmtId="164" fontId="0" fillId="0" borderId="2" xfId="0" applyNumberFormat="1" applyFill="1" applyBorder="1" applyAlignment="1">
      <alignment horizontal="center"/>
    </xf>
    <xf numFmtId="0" fontId="0" fillId="0" borderId="13" xfId="0" applyFill="1" applyBorder="1"/>
    <xf numFmtId="0" fontId="0" fillId="0" borderId="2" xfId="0" applyFill="1" applyBorder="1"/>
    <xf numFmtId="0" fontId="4" fillId="0" borderId="12" xfId="0" applyFont="1" applyFill="1" applyBorder="1"/>
    <xf numFmtId="9" fontId="0" fillId="0" borderId="2" xfId="0" applyNumberFormat="1" applyFill="1" applyBorder="1" applyAlignment="1">
      <alignment horizontal="center"/>
    </xf>
    <xf numFmtId="171" fontId="0" fillId="0" borderId="13" xfId="0" applyNumberFormat="1" applyFill="1" applyBorder="1"/>
    <xf numFmtId="0" fontId="2" fillId="0" borderId="2" xfId="0" applyFont="1" applyFill="1" applyBorder="1"/>
    <xf numFmtId="172" fontId="0" fillId="0" borderId="13" xfId="0" applyNumberFormat="1" applyFill="1" applyBorder="1"/>
    <xf numFmtId="10" fontId="0" fillId="0" borderId="2" xfId="0" applyNumberFormat="1" applyFill="1" applyBorder="1" applyAlignment="1">
      <alignment horizontal="center"/>
    </xf>
    <xf numFmtId="171" fontId="2" fillId="0" borderId="13" xfId="0" applyNumberFormat="1" applyFont="1" applyFill="1" applyBorder="1"/>
    <xf numFmtId="0" fontId="4" fillId="0" borderId="7" xfId="0" applyFont="1" applyFill="1" applyBorder="1"/>
    <xf numFmtId="171" fontId="0" fillId="0" borderId="7" xfId="0" applyNumberFormat="1" applyFill="1" applyBorder="1"/>
    <xf numFmtId="164" fontId="0" fillId="0" borderId="7" xfId="0" applyNumberFormat="1" applyFill="1" applyBorder="1" applyAlignment="1">
      <alignment horizontal="center"/>
    </xf>
    <xf numFmtId="171" fontId="4" fillId="0" borderId="7" xfId="0" applyNumberFormat="1" applyFont="1" applyFill="1" applyBorder="1"/>
    <xf numFmtId="0" fontId="0" fillId="0" borderId="6" xfId="0" applyFill="1" applyBorder="1" applyAlignment="1">
      <alignment horizontal="center"/>
    </xf>
    <xf numFmtId="0" fontId="0" fillId="0" borderId="6" xfId="0" applyFill="1" applyBorder="1"/>
    <xf numFmtId="171" fontId="0" fillId="0" borderId="6" xfId="0" applyNumberFormat="1" applyFill="1" applyBorder="1"/>
    <xf numFmtId="9" fontId="0" fillId="0" borderId="2" xfId="0" applyNumberFormat="1" applyFill="1" applyBorder="1"/>
    <xf numFmtId="0" fontId="0" fillId="0" borderId="7" xfId="0" applyFill="1" applyBorder="1"/>
    <xf numFmtId="9" fontId="0" fillId="0" borderId="7" xfId="0" applyNumberFormat="1" applyFill="1" applyBorder="1"/>
    <xf numFmtId="171" fontId="0" fillId="0" borderId="0" xfId="0" applyNumberFormat="1" applyFill="1" applyBorder="1"/>
    <xf numFmtId="9" fontId="0" fillId="0" borderId="0" xfId="0" applyNumberFormat="1" applyFill="1" applyBorder="1"/>
    <xf numFmtId="9" fontId="2" fillId="0" borderId="6" xfId="0" applyNumberFormat="1" applyFont="1" applyFill="1" applyBorder="1" applyAlignment="1">
      <alignment horizontal="center"/>
    </xf>
    <xf numFmtId="171" fontId="2" fillId="0" borderId="6" xfId="0" quotePrefix="1" applyNumberFormat="1" applyFont="1" applyFill="1" applyBorder="1" applyAlignment="1">
      <alignment horizontal="right"/>
    </xf>
    <xf numFmtId="9" fontId="2" fillId="0" borderId="7" xfId="0" applyNumberFormat="1" applyFont="1" applyFill="1" applyBorder="1" applyAlignment="1">
      <alignment horizontal="center"/>
    </xf>
    <xf numFmtId="2" fontId="0" fillId="0" borderId="2" xfId="0" applyNumberFormat="1" applyFill="1" applyBorder="1"/>
    <xf numFmtId="10" fontId="0" fillId="0" borderId="7" xfId="0" applyNumberFormat="1" applyFill="1" applyBorder="1"/>
    <xf numFmtId="3" fontId="2" fillId="0" borderId="1" xfId="0" applyNumberFormat="1" applyFont="1" applyBorder="1"/>
    <xf numFmtId="0" fontId="0" fillId="0" borderId="1" xfId="0" applyBorder="1"/>
    <xf numFmtId="0" fontId="0" fillId="0" borderId="0" xfId="0" applyFill="1" applyAlignment="1">
      <alignment horizontal="left"/>
    </xf>
    <xf numFmtId="3" fontId="2" fillId="0" borderId="0" xfId="0" quotePrefix="1" applyNumberFormat="1" applyFont="1" applyBorder="1" applyAlignment="1">
      <alignment horizontal="left"/>
    </xf>
    <xf numFmtId="171" fontId="2" fillId="0" borderId="0" xfId="0" quotePrefix="1" applyNumberFormat="1" applyFont="1" applyBorder="1" applyAlignment="1">
      <alignment horizontal="left"/>
    </xf>
    <xf numFmtId="0" fontId="3" fillId="0" borderId="0" xfId="0" quotePrefix="1" applyFont="1" applyAlignment="1">
      <alignment horizontal="right"/>
    </xf>
    <xf numFmtId="10" fontId="2" fillId="0" borderId="0" xfId="0" quotePrefix="1" applyNumberFormat="1" applyFont="1" applyAlignment="1">
      <alignment horizontal="left"/>
    </xf>
    <xf numFmtId="164" fontId="2" fillId="0" borderId="1" xfId="0" applyNumberFormat="1" applyFont="1" applyBorder="1" applyAlignment="1">
      <alignment horizontal="right"/>
    </xf>
    <xf numFmtId="168" fontId="2" fillId="0" borderId="1" xfId="0" applyNumberFormat="1" applyFont="1" applyBorder="1"/>
    <xf numFmtId="165" fontId="2" fillId="0" borderId="1" xfId="0" applyNumberFormat="1" applyFont="1" applyBorder="1"/>
    <xf numFmtId="3" fontId="0" fillId="0" borderId="0" xfId="0" quotePrefix="1" applyNumberFormat="1" applyAlignment="1">
      <alignment horizontal="left"/>
    </xf>
    <xf numFmtId="164" fontId="2" fillId="0" borderId="1" xfId="0" applyNumberFormat="1" applyFont="1" applyBorder="1"/>
    <xf numFmtId="2" fontId="0" fillId="0" borderId="0" xfId="0" quotePrefix="1" applyNumberFormat="1" applyAlignment="1">
      <alignment horizontal="left"/>
    </xf>
    <xf numFmtId="168" fontId="2" fillId="0" borderId="1" xfId="0" quotePrefix="1" applyNumberFormat="1" applyFont="1" applyFill="1" applyBorder="1" applyAlignment="1">
      <alignment horizontal="right"/>
    </xf>
    <xf numFmtId="176" fontId="2" fillId="0" borderId="1" xfId="0" applyNumberFormat="1" applyFont="1" applyFill="1" applyBorder="1"/>
    <xf numFmtId="172" fontId="2" fillId="0" borderId="1" xfId="0" applyNumberFormat="1" applyFont="1" applyBorder="1"/>
    <xf numFmtId="2" fontId="2" fillId="0" borderId="1" xfId="0" applyNumberFormat="1" applyFont="1" applyBorder="1"/>
    <xf numFmtId="3" fontId="0" fillId="0" borderId="0" xfId="0" quotePrefix="1" applyNumberFormat="1" applyBorder="1" applyAlignment="1">
      <alignment horizontal="left"/>
    </xf>
    <xf numFmtId="172" fontId="0" fillId="0" borderId="0" xfId="0" quotePrefix="1" applyNumberFormat="1" applyBorder="1" applyAlignment="1">
      <alignment horizontal="left"/>
    </xf>
    <xf numFmtId="0" fontId="3" fillId="0" borderId="0" xfId="0" quotePrefix="1" applyFont="1" applyBorder="1" applyAlignment="1">
      <alignment horizontal="right"/>
    </xf>
    <xf numFmtId="0" fontId="2" fillId="0" borderId="1" xfId="0" applyFont="1" applyFill="1" applyBorder="1"/>
    <xf numFmtId="2" fontId="2" fillId="0" borderId="0" xfId="0" quotePrefix="1" applyNumberFormat="1" applyFont="1" applyBorder="1" applyAlignment="1">
      <alignment horizontal="left"/>
    </xf>
    <xf numFmtId="3" fontId="2" fillId="0" borderId="0" xfId="0" quotePrefix="1" applyNumberFormat="1" applyFont="1" applyAlignment="1">
      <alignment horizontal="left"/>
    </xf>
    <xf numFmtId="10" fontId="2" fillId="0" borderId="0" xfId="7" quotePrefix="1" applyNumberFormat="1" applyFont="1" applyBorder="1" applyAlignment="1">
      <alignment horizontal="left"/>
    </xf>
    <xf numFmtId="171" fontId="0" fillId="0" borderId="0" xfId="0" quotePrefix="1" applyNumberFormat="1" applyAlignment="1">
      <alignment horizontal="left"/>
    </xf>
    <xf numFmtId="0" fontId="11" fillId="0" borderId="0" xfId="0" quotePrefix="1" applyFont="1" applyBorder="1" applyAlignment="1">
      <alignment horizontal="left" indent="8"/>
    </xf>
    <xf numFmtId="164" fontId="2" fillId="0" borderId="9" xfId="0" applyNumberFormat="1" applyFont="1" applyBorder="1" applyAlignment="1">
      <alignment horizontal="center"/>
    </xf>
    <xf numFmtId="164" fontId="2" fillId="0" borderId="10" xfId="0" applyNumberFormat="1" applyFont="1" applyBorder="1" applyAlignment="1">
      <alignment horizontal="center"/>
    </xf>
    <xf numFmtId="164" fontId="4" fillId="0" borderId="13" xfId="0" applyNumberFormat="1" applyFont="1" applyFill="1" applyBorder="1" applyAlignment="1">
      <alignment horizontal="center"/>
    </xf>
    <xf numFmtId="164" fontId="0" fillId="0" borderId="13" xfId="0" applyNumberFormat="1" applyFill="1" applyBorder="1" applyAlignment="1">
      <alignment horizontal="center"/>
    </xf>
    <xf numFmtId="164" fontId="0" fillId="0" borderId="13" xfId="0" quotePrefix="1" applyNumberFormat="1" applyFill="1" applyBorder="1" applyAlignment="1">
      <alignment horizontal="center"/>
    </xf>
    <xf numFmtId="9" fontId="0" fillId="0" borderId="13" xfId="0" applyNumberFormat="1" applyFill="1" applyBorder="1" applyAlignment="1">
      <alignment horizontal="center"/>
    </xf>
    <xf numFmtId="10" fontId="0" fillId="0" borderId="13" xfId="0" applyNumberFormat="1" applyFill="1" applyBorder="1" applyAlignment="1">
      <alignment horizontal="center"/>
    </xf>
    <xf numFmtId="171" fontId="0" fillId="0" borderId="2" xfId="0" quotePrefix="1" applyNumberFormat="1" applyFill="1" applyBorder="1" applyAlignment="1">
      <alignment horizontal="left"/>
    </xf>
    <xf numFmtId="9" fontId="0" fillId="0" borderId="13" xfId="0" quotePrefix="1" applyNumberFormat="1" applyFill="1" applyBorder="1" applyAlignment="1">
      <alignment horizontal="left"/>
    </xf>
    <xf numFmtId="0" fontId="0" fillId="0" borderId="1" xfId="0" applyFill="1" applyBorder="1"/>
    <xf numFmtId="164" fontId="0" fillId="0" borderId="1" xfId="0" applyNumberFormat="1" applyFill="1" applyBorder="1"/>
    <xf numFmtId="0" fontId="2" fillId="0" borderId="1" xfId="0" quotePrefix="1" applyFont="1" applyBorder="1" applyAlignment="1">
      <alignment horizontal="right"/>
    </xf>
    <xf numFmtId="0" fontId="4" fillId="0" borderId="0" xfId="0" applyFont="1" applyAlignment="1"/>
    <xf numFmtId="0" fontId="0" fillId="0" borderId="2" xfId="0" quotePrefix="1" applyFill="1" applyBorder="1" applyAlignment="1">
      <alignment horizontal="left"/>
    </xf>
    <xf numFmtId="0" fontId="0" fillId="0" borderId="6" xfId="0" quotePrefix="1" applyFill="1" applyBorder="1" applyAlignment="1">
      <alignment horizontal="left"/>
    </xf>
    <xf numFmtId="0" fontId="4" fillId="0" borderId="0" xfId="0" quotePrefix="1" applyFont="1" applyAlignment="1">
      <alignment horizontal="right" vertical="center"/>
    </xf>
    <xf numFmtId="3" fontId="0" fillId="0" borderId="0" xfId="0" applyNumberFormat="1" applyBorder="1"/>
    <xf numFmtId="0" fontId="0" fillId="0" borderId="1" xfId="0" quotePrefix="1" applyBorder="1" applyAlignment="1">
      <alignment horizontal="left"/>
    </xf>
    <xf numFmtId="165" fontId="0" fillId="0" borderId="1" xfId="0" applyNumberFormat="1" applyBorder="1"/>
    <xf numFmtId="0" fontId="0" fillId="0" borderId="0" xfId="0" quotePrefix="1" applyBorder="1" applyAlignment="1">
      <alignment horizontal="left"/>
    </xf>
    <xf numFmtId="177" fontId="0" fillId="0" borderId="0" xfId="0" applyNumberFormat="1"/>
    <xf numFmtId="180" fontId="0" fillId="2" borderId="13" xfId="0" applyNumberFormat="1" applyFill="1" applyBorder="1"/>
    <xf numFmtId="180" fontId="0" fillId="2" borderId="10" xfId="0" applyNumberFormat="1" applyFill="1" applyBorder="1"/>
    <xf numFmtId="0" fontId="4" fillId="0" borderId="0" xfId="0" applyFont="1" applyFill="1" applyBorder="1" applyAlignment="1">
      <alignment horizontal="right"/>
    </xf>
    <xf numFmtId="0" fontId="4" fillId="0" borderId="0" xfId="0" applyFont="1" applyAlignment="1">
      <alignment horizontal="right"/>
    </xf>
    <xf numFmtId="0" fontId="4" fillId="0" borderId="0" xfId="0" quotePrefix="1" applyFont="1" applyFill="1" applyAlignment="1">
      <alignment horizontal="left"/>
    </xf>
    <xf numFmtId="0" fontId="2" fillId="0" borderId="0" xfId="0" quotePrefix="1" applyFont="1" applyBorder="1" applyAlignment="1">
      <alignment horizontal="right"/>
    </xf>
    <xf numFmtId="4" fontId="2" fillId="0" borderId="0" xfId="7" quotePrefix="1" applyNumberFormat="1" applyFont="1" applyBorder="1" applyAlignment="1"/>
    <xf numFmtId="10" fontId="0" fillId="0" borderId="0" xfId="0" applyNumberFormat="1" applyFill="1"/>
    <xf numFmtId="0" fontId="2" fillId="0" borderId="0" xfId="0" applyFont="1" applyAlignment="1">
      <alignment horizontal="left" indent="5"/>
    </xf>
    <xf numFmtId="0" fontId="2" fillId="0" borderId="0" xfId="0" quotePrefix="1" applyFont="1" applyAlignment="1">
      <alignment horizontal="left" indent="5"/>
    </xf>
    <xf numFmtId="168" fontId="2" fillId="2" borderId="0" xfId="0" applyNumberFormat="1" applyFont="1" applyFill="1"/>
    <xf numFmtId="175" fontId="0" fillId="0" borderId="0" xfId="0" applyNumberFormat="1" applyFill="1"/>
    <xf numFmtId="0" fontId="0" fillId="0" borderId="0" xfId="0" applyFill="1" applyBorder="1" applyAlignment="1">
      <alignment horizontal="left" indent="3"/>
    </xf>
    <xf numFmtId="0" fontId="2" fillId="0" borderId="0" xfId="0" applyFont="1" applyFill="1" applyAlignment="1">
      <alignment horizontal="right"/>
    </xf>
    <xf numFmtId="0" fontId="2" fillId="0" borderId="0" xfId="0" quotePrefix="1" applyFont="1" applyAlignment="1">
      <alignment horizontal="left" indent="4"/>
    </xf>
    <xf numFmtId="0" fontId="2" fillId="0" borderId="0" xfId="0" applyFont="1" applyAlignment="1">
      <alignment horizontal="left" indent="4"/>
    </xf>
    <xf numFmtId="14" fontId="0" fillId="0" borderId="0" xfId="0" applyNumberFormat="1" applyFill="1"/>
    <xf numFmtId="177" fontId="2" fillId="2" borderId="0" xfId="0" quotePrefix="1" applyNumberFormat="1" applyFont="1" applyFill="1" applyAlignment="1">
      <alignment horizontal="right"/>
    </xf>
    <xf numFmtId="0" fontId="2" fillId="0" borderId="0" xfId="0" quotePrefix="1" applyFont="1" applyFill="1" applyAlignment="1">
      <alignment horizontal="right"/>
    </xf>
    <xf numFmtId="164" fontId="2" fillId="0" borderId="0" xfId="0" applyNumberFormat="1" applyFont="1" applyFill="1"/>
    <xf numFmtId="176" fontId="2" fillId="0" borderId="0" xfId="0" applyNumberFormat="1" applyFont="1" applyFill="1"/>
    <xf numFmtId="177" fontId="2" fillId="0" borderId="0" xfId="0" quotePrefix="1" applyNumberFormat="1" applyFont="1" applyFill="1" applyAlignment="1">
      <alignment horizontal="right"/>
    </xf>
    <xf numFmtId="177" fontId="2" fillId="0" borderId="1" xfId="0" quotePrefix="1" applyNumberFormat="1" applyFont="1" applyFill="1" applyBorder="1" applyAlignment="1">
      <alignment horizontal="right"/>
    </xf>
    <xf numFmtId="177" fontId="2" fillId="0" borderId="0" xfId="0" applyNumberFormat="1" applyFont="1" applyFill="1"/>
    <xf numFmtId="0" fontId="0" fillId="0" borderId="0" xfId="0" applyAlignment="1">
      <alignment horizontal="left" indent="2"/>
    </xf>
    <xf numFmtId="171" fontId="4" fillId="0" borderId="0" xfId="0" applyNumberFormat="1" applyFont="1"/>
    <xf numFmtId="176" fontId="0" fillId="0" borderId="0" xfId="0" applyNumberFormat="1" applyBorder="1" applyAlignment="1">
      <alignment horizontal="right"/>
    </xf>
    <xf numFmtId="3" fontId="4" fillId="0" borderId="0" xfId="0" applyNumberFormat="1" applyFont="1"/>
    <xf numFmtId="175" fontId="2" fillId="0" borderId="0" xfId="7" applyNumberFormat="1" applyFont="1"/>
    <xf numFmtId="176" fontId="0" fillId="0" borderId="0" xfId="0" applyNumberFormat="1"/>
    <xf numFmtId="165" fontId="2" fillId="0" borderId="0" xfId="0" applyNumberFormat="1" applyFont="1" applyBorder="1" applyAlignment="1">
      <alignment horizontal="left"/>
    </xf>
    <xf numFmtId="0" fontId="0" fillId="0" borderId="11" xfId="0" quotePrefix="1" applyBorder="1" applyAlignment="1">
      <alignment horizontal="right"/>
    </xf>
    <xf numFmtId="0" fontId="0" fillId="0" borderId="14" xfId="0" applyBorder="1"/>
    <xf numFmtId="3" fontId="0" fillId="0" borderId="14" xfId="0" applyNumberFormat="1" applyBorder="1"/>
    <xf numFmtId="0" fontId="0" fillId="0" borderId="12" xfId="0" applyBorder="1"/>
    <xf numFmtId="0" fontId="0" fillId="0" borderId="0" xfId="0" applyBorder="1" applyAlignment="1">
      <alignment horizontal="left"/>
    </xf>
    <xf numFmtId="0" fontId="0" fillId="0" borderId="1" xfId="0" applyBorder="1" applyAlignment="1">
      <alignment horizontal="left"/>
    </xf>
    <xf numFmtId="6" fontId="0" fillId="0" borderId="1" xfId="0" quotePrefix="1" applyNumberFormat="1" applyFill="1" applyBorder="1" applyAlignment="1">
      <alignment horizontal="right"/>
    </xf>
    <xf numFmtId="6" fontId="0" fillId="0" borderId="8" xfId="0" quotePrefix="1" applyNumberFormat="1" applyFill="1" applyBorder="1" applyAlignment="1">
      <alignment horizontal="right"/>
    </xf>
    <xf numFmtId="0" fontId="0" fillId="0" borderId="11" xfId="0" applyBorder="1"/>
    <xf numFmtId="0" fontId="0" fillId="0" borderId="13" xfId="0" applyBorder="1"/>
    <xf numFmtId="0" fontId="0" fillId="0" borderId="10" xfId="0" applyBorder="1"/>
    <xf numFmtId="0" fontId="0" fillId="0" borderId="11" xfId="0" applyBorder="1" applyAlignment="1">
      <alignment horizontal="right"/>
    </xf>
    <xf numFmtId="0" fontId="0" fillId="0" borderId="9" xfId="0" applyBorder="1" applyAlignment="1">
      <alignment horizontal="right"/>
    </xf>
    <xf numFmtId="0" fontId="11" fillId="0" borderId="15" xfId="0" quotePrefix="1" applyFont="1" applyBorder="1" applyAlignment="1">
      <alignment horizontal="left"/>
    </xf>
    <xf numFmtId="0" fontId="4" fillId="0" borderId="16" xfId="0" applyFont="1" applyBorder="1"/>
    <xf numFmtId="0" fontId="0" fillId="0" borderId="16" xfId="0" applyBorder="1"/>
    <xf numFmtId="0" fontId="0" fillId="0" borderId="17" xfId="0" applyBorder="1"/>
    <xf numFmtId="0" fontId="0" fillId="0" borderId="18" xfId="0" applyBorder="1"/>
    <xf numFmtId="0" fontId="4" fillId="0" borderId="19" xfId="0" quotePrefix="1" applyFont="1" applyBorder="1" applyAlignment="1">
      <alignment horizontal="left"/>
    </xf>
    <xf numFmtId="0" fontId="0" fillId="0" borderId="20" xfId="0" applyBorder="1"/>
    <xf numFmtId="0" fontId="0" fillId="0" borderId="19" xfId="0" applyBorder="1" applyAlignment="1">
      <alignment horizontal="left"/>
    </xf>
    <xf numFmtId="0" fontId="0" fillId="0" borderId="19" xfId="0" applyBorder="1"/>
    <xf numFmtId="0" fontId="0" fillId="0" borderId="19" xfId="0" quotePrefix="1" applyBorder="1" applyAlignment="1">
      <alignment horizontal="left"/>
    </xf>
    <xf numFmtId="0" fontId="0" fillId="0" borderId="20" xfId="0" quotePrefix="1" applyBorder="1" applyAlignment="1">
      <alignment horizontal="left"/>
    </xf>
    <xf numFmtId="0" fontId="0" fillId="0" borderId="21" xfId="0" applyBorder="1"/>
    <xf numFmtId="0" fontId="0" fillId="0" borderId="22" xfId="0" applyBorder="1"/>
    <xf numFmtId="0" fontId="4" fillId="0" borderId="20" xfId="0" quotePrefix="1" applyFont="1" applyBorder="1" applyAlignment="1">
      <alignment horizontal="left"/>
    </xf>
    <xf numFmtId="0" fontId="0" fillId="0" borderId="23" xfId="0" applyBorder="1"/>
    <xf numFmtId="0" fontId="0" fillId="0" borderId="19" xfId="0" applyBorder="1" applyAlignment="1">
      <alignment horizontal="left" indent="4"/>
    </xf>
    <xf numFmtId="0" fontId="0" fillId="0" borderId="20" xfId="0" applyBorder="1" applyAlignment="1">
      <alignment horizontal="left" indent="4"/>
    </xf>
    <xf numFmtId="0" fontId="0" fillId="0" borderId="24" xfId="0" applyBorder="1"/>
    <xf numFmtId="0" fontId="4" fillId="0" borderId="22" xfId="0" applyFont="1" applyBorder="1" applyAlignment="1">
      <alignment horizontal="right"/>
    </xf>
    <xf numFmtId="0" fontId="0" fillId="0" borderId="14" xfId="0" applyBorder="1" applyAlignment="1">
      <alignment horizontal="right"/>
    </xf>
    <xf numFmtId="3" fontId="4" fillId="0" borderId="0" xfId="0" applyNumberFormat="1" applyFont="1" applyBorder="1"/>
    <xf numFmtId="0" fontId="0" fillId="0" borderId="10" xfId="0" applyFill="1" applyBorder="1" applyAlignment="1">
      <alignment horizontal="right"/>
    </xf>
    <xf numFmtId="0" fontId="0" fillId="0" borderId="4" xfId="0" applyBorder="1" applyAlignment="1">
      <alignment horizontal="centerContinuous"/>
    </xf>
    <xf numFmtId="0" fontId="0" fillId="0" borderId="5" xfId="0" applyBorder="1" applyAlignment="1">
      <alignment horizontal="centerContinuous"/>
    </xf>
    <xf numFmtId="0" fontId="0" fillId="0" borderId="25" xfId="0" applyBorder="1" applyAlignment="1">
      <alignment horizontal="centerContinuous"/>
    </xf>
    <xf numFmtId="0" fontId="0" fillId="0" borderId="24" xfId="0" applyBorder="1" applyAlignment="1">
      <alignment horizontal="right"/>
    </xf>
    <xf numFmtId="0" fontId="0" fillId="0" borderId="23" xfId="0" applyFill="1" applyBorder="1" applyAlignment="1">
      <alignment horizontal="right"/>
    </xf>
    <xf numFmtId="171" fontId="4" fillId="0" borderId="26" xfId="0" applyNumberFormat="1" applyFont="1" applyBorder="1" applyAlignment="1">
      <alignment horizontal="right" wrapText="1"/>
    </xf>
    <xf numFmtId="171" fontId="4" fillId="0" borderId="27" xfId="0" applyNumberFormat="1" applyFont="1" applyBorder="1" applyAlignment="1">
      <alignment horizontal="right" wrapText="1"/>
    </xf>
    <xf numFmtId="0" fontId="4" fillId="0" borderId="16" xfId="0" applyFont="1" applyBorder="1" applyAlignment="1">
      <alignment horizontal="right"/>
    </xf>
    <xf numFmtId="165" fontId="0" fillId="0" borderId="11" xfId="0" applyNumberFormat="1" applyBorder="1"/>
    <xf numFmtId="165" fontId="0" fillId="0" borderId="12" xfId="0" applyNumberFormat="1" applyBorder="1"/>
    <xf numFmtId="165" fontId="0" fillId="0" borderId="8" xfId="0" applyNumberFormat="1" applyBorder="1"/>
    <xf numFmtId="0" fontId="0" fillId="0" borderId="28" xfId="0" applyBorder="1"/>
    <xf numFmtId="164" fontId="2" fillId="0" borderId="0" xfId="0" quotePrefix="1" applyNumberFormat="1" applyFont="1" applyBorder="1" applyAlignment="1">
      <alignment horizontal="left"/>
    </xf>
    <xf numFmtId="0" fontId="2" fillId="0" borderId="0" xfId="0" quotePrefix="1" applyFont="1" applyFill="1" applyBorder="1" applyAlignment="1">
      <alignment horizontal="right"/>
    </xf>
    <xf numFmtId="165" fontId="2" fillId="0" borderId="12" xfId="0" applyNumberFormat="1" applyFont="1" applyBorder="1"/>
    <xf numFmtId="3" fontId="2" fillId="0" borderId="29" xfId="0" applyNumberFormat="1" applyFont="1" applyBorder="1"/>
    <xf numFmtId="165" fontId="2" fillId="0" borderId="30" xfId="0" applyNumberFormat="1" applyFont="1" applyBorder="1"/>
    <xf numFmtId="165" fontId="2" fillId="0" borderId="8" xfId="0" applyNumberFormat="1" applyFont="1" applyBorder="1"/>
    <xf numFmtId="171" fontId="4" fillId="0" borderId="0" xfId="0" applyNumberFormat="1" applyFont="1" applyAlignment="1">
      <alignment horizontal="right"/>
    </xf>
    <xf numFmtId="177" fontId="2" fillId="2" borderId="0" xfId="0" applyNumberFormat="1" applyFont="1" applyFill="1" applyAlignment="1">
      <alignment horizontal="right"/>
    </xf>
    <xf numFmtId="0" fontId="0" fillId="0" borderId="2" xfId="0" applyFill="1" applyBorder="1" applyAlignment="1">
      <alignment horizontal="left" indent="3"/>
    </xf>
    <xf numFmtId="0" fontId="2" fillId="0" borderId="12" xfId="0" applyFont="1" applyBorder="1" applyAlignment="1">
      <alignment horizontal="right"/>
    </xf>
    <xf numFmtId="0" fontId="2" fillId="0" borderId="13" xfId="0" applyFont="1" applyBorder="1" applyAlignment="1">
      <alignment horizontal="right"/>
    </xf>
    <xf numFmtId="0" fontId="4" fillId="3" borderId="31" xfId="0" applyFont="1" applyFill="1" applyBorder="1" applyAlignment="1">
      <alignment horizontal="centerContinuous"/>
    </xf>
    <xf numFmtId="0" fontId="4" fillId="3" borderId="32" xfId="0" applyFont="1" applyFill="1" applyBorder="1" applyAlignment="1">
      <alignment horizontal="centerContinuous"/>
    </xf>
    <xf numFmtId="0" fontId="0" fillId="3" borderId="32" xfId="0" applyFill="1" applyBorder="1" applyAlignment="1">
      <alignment horizontal="centerContinuous"/>
    </xf>
    <xf numFmtId="0" fontId="0" fillId="3" borderId="33" xfId="0" applyFill="1" applyBorder="1" applyAlignment="1">
      <alignment horizontal="centerContinuous"/>
    </xf>
    <xf numFmtId="0" fontId="4" fillId="0" borderId="6" xfId="0" quotePrefix="1" applyFont="1" applyFill="1" applyBorder="1" applyAlignment="1">
      <alignment horizontal="left"/>
    </xf>
    <xf numFmtId="0" fontId="4" fillId="0" borderId="2" xfId="0" quotePrefix="1" applyFont="1" applyFill="1" applyBorder="1" applyAlignment="1">
      <alignment horizontal="left"/>
    </xf>
    <xf numFmtId="171" fontId="2" fillId="0" borderId="7" xfId="0" quotePrefix="1" applyNumberFormat="1" applyFont="1" applyFill="1" applyBorder="1" applyAlignment="1">
      <alignment horizontal="right"/>
    </xf>
    <xf numFmtId="0" fontId="0" fillId="0" borderId="19" xfId="0" quotePrefix="1" applyBorder="1" applyAlignment="1">
      <alignment horizontal="left" indent="4"/>
    </xf>
    <xf numFmtId="0" fontId="0" fillId="0" borderId="20" xfId="0" quotePrefix="1" applyBorder="1" applyAlignment="1">
      <alignment horizontal="left" indent="4"/>
    </xf>
    <xf numFmtId="0" fontId="11" fillId="0" borderId="19" xfId="0" quotePrefix="1" applyFont="1" applyBorder="1" applyAlignment="1">
      <alignment horizontal="left"/>
    </xf>
    <xf numFmtId="0" fontId="2" fillId="0" borderId="0" xfId="0" quotePrefix="1" applyFont="1" applyAlignment="1">
      <alignment horizontal="right"/>
    </xf>
    <xf numFmtId="0" fontId="4" fillId="0" borderId="0" xfId="0" applyFont="1" applyBorder="1" applyAlignment="1"/>
    <xf numFmtId="0" fontId="0" fillId="0" borderId="1" xfId="0" quotePrefix="1" applyFill="1" applyBorder="1" applyAlignment="1">
      <alignment horizontal="left"/>
    </xf>
    <xf numFmtId="0" fontId="6" fillId="0" borderId="0" xfId="0" applyFont="1" applyBorder="1"/>
    <xf numFmtId="0" fontId="6" fillId="0" borderId="0" xfId="0" quotePrefix="1" applyFont="1" applyBorder="1" applyAlignment="1">
      <alignment horizontal="left"/>
    </xf>
    <xf numFmtId="0" fontId="0" fillId="0" borderId="0" xfId="0" applyFill="1" applyBorder="1" applyAlignment="1">
      <alignment horizontal="left"/>
    </xf>
    <xf numFmtId="3" fontId="2" fillId="0" borderId="1" xfId="0" applyNumberFormat="1" applyFont="1" applyBorder="1" applyAlignment="1">
      <alignment horizontal="right"/>
    </xf>
    <xf numFmtId="0" fontId="2" fillId="0" borderId="1" xfId="0" applyFont="1" applyBorder="1" applyAlignment="1">
      <alignment horizontal="right"/>
    </xf>
    <xf numFmtId="171" fontId="2" fillId="0" borderId="1" xfId="0" applyNumberFormat="1" applyFont="1" applyBorder="1" applyAlignment="1">
      <alignment horizontal="right"/>
    </xf>
    <xf numFmtId="175" fontId="2" fillId="0" borderId="1" xfId="0" applyNumberFormat="1" applyFont="1" applyFill="1" applyBorder="1" applyAlignment="1">
      <alignment horizontal="right" wrapText="1"/>
    </xf>
    <xf numFmtId="165" fontId="2" fillId="0" borderId="1" xfId="0" applyNumberFormat="1" applyFont="1" applyBorder="1" applyAlignment="1">
      <alignment horizontal="right"/>
    </xf>
    <xf numFmtId="176" fontId="2" fillId="0" borderId="0" xfId="0" applyNumberFormat="1" applyFont="1" applyFill="1" applyBorder="1"/>
    <xf numFmtId="177" fontId="2" fillId="2" borderId="0" xfId="0" applyNumberFormat="1" applyFont="1" applyFill="1" applyBorder="1"/>
    <xf numFmtId="3" fontId="0" fillId="0" borderId="0" xfId="0" applyNumberFormat="1" applyAlignment="1">
      <alignment horizontal="centerContinuous"/>
    </xf>
    <xf numFmtId="183" fontId="2" fillId="0" borderId="0" xfId="0" applyNumberFormat="1" applyFont="1"/>
    <xf numFmtId="0" fontId="11" fillId="0" borderId="0" xfId="0" applyFont="1" applyAlignment="1">
      <alignment horizontal="left"/>
    </xf>
    <xf numFmtId="3" fontId="3" fillId="0" borderId="0" xfId="0" quotePrefix="1" applyNumberFormat="1" applyFont="1" applyBorder="1" applyAlignment="1">
      <alignment wrapText="1"/>
    </xf>
    <xf numFmtId="3" fontId="3" fillId="0" borderId="0" xfId="0" applyNumberFormat="1" applyFont="1" applyBorder="1" applyAlignment="1">
      <alignment wrapText="1"/>
    </xf>
    <xf numFmtId="10" fontId="0" fillId="0" borderId="1" xfId="0" applyNumberFormat="1" applyBorder="1"/>
    <xf numFmtId="0" fontId="0" fillId="0" borderId="0" xfId="0" quotePrefix="1" applyAlignment="1">
      <alignment horizontal="right"/>
    </xf>
    <xf numFmtId="174" fontId="0" fillId="0" borderId="1" xfId="0" applyNumberFormat="1" applyBorder="1"/>
    <xf numFmtId="185" fontId="0" fillId="0" borderId="0" xfId="0" applyNumberFormat="1"/>
    <xf numFmtId="170" fontId="2" fillId="0" borderId="0" xfId="0" applyNumberFormat="1" applyFont="1" applyFill="1" applyBorder="1" applyAlignment="1">
      <alignment horizontal="right" wrapText="1"/>
    </xf>
    <xf numFmtId="0" fontId="0" fillId="0" borderId="1" xfId="0" applyBorder="1" applyAlignment="1">
      <alignment horizontal="right"/>
    </xf>
    <xf numFmtId="167" fontId="2" fillId="0" borderId="0" xfId="0" applyNumberFormat="1" applyFont="1" applyBorder="1" applyAlignment="1">
      <alignment horizontal="right" wrapText="1"/>
    </xf>
    <xf numFmtId="0" fontId="4" fillId="0" borderId="0" xfId="0" quotePrefix="1" applyFont="1" applyAlignment="1">
      <alignment horizontal="left" indent="1"/>
    </xf>
    <xf numFmtId="0" fontId="11" fillId="0" borderId="0" xfId="0" applyFont="1"/>
    <xf numFmtId="164" fontId="2" fillId="0" borderId="0" xfId="0" quotePrefix="1" applyNumberFormat="1" applyFont="1" applyBorder="1" applyAlignment="1">
      <alignment horizontal="left" wrapText="1"/>
    </xf>
    <xf numFmtId="10" fontId="2" fillId="0" borderId="1" xfId="0" applyNumberFormat="1" applyFont="1" applyBorder="1"/>
    <xf numFmtId="10" fontId="2" fillId="0" borderId="0" xfId="0" quotePrefix="1" applyNumberFormat="1" applyFont="1" applyAlignment="1">
      <alignment horizontal="right"/>
    </xf>
    <xf numFmtId="3" fontId="2" fillId="0" borderId="0" xfId="0" applyNumberFormat="1" applyFont="1" applyFill="1" applyAlignment="1"/>
    <xf numFmtId="0" fontId="4" fillId="0" borderId="0" xfId="0" quotePrefix="1" applyFont="1" applyAlignment="1">
      <alignment horizontal="right"/>
    </xf>
    <xf numFmtId="177" fontId="2" fillId="2" borderId="0" xfId="0" applyNumberFormat="1" applyFont="1" applyFill="1" applyBorder="1" applyAlignment="1">
      <alignment horizontal="right" wrapText="1"/>
    </xf>
    <xf numFmtId="177" fontId="2" fillId="0" borderId="0" xfId="0" applyNumberFormat="1" applyFont="1" applyFill="1" applyAlignment="1">
      <alignment horizontal="right"/>
    </xf>
    <xf numFmtId="0" fontId="2" fillId="0" borderId="0" xfId="0" applyFont="1" applyFill="1" applyAlignment="1">
      <alignment horizontal="left"/>
    </xf>
    <xf numFmtId="165" fontId="2" fillId="0" borderId="14" xfId="0" applyNumberFormat="1" applyFont="1" applyBorder="1" applyAlignment="1">
      <alignment horizontal="right" wrapText="1"/>
    </xf>
    <xf numFmtId="171" fontId="2" fillId="0" borderId="14" xfId="0" applyNumberFormat="1" applyFont="1" applyBorder="1" applyAlignment="1">
      <alignment horizontal="right" wrapText="1"/>
    </xf>
    <xf numFmtId="10" fontId="0" fillId="0" borderId="14" xfId="0" applyNumberFormat="1" applyBorder="1"/>
    <xf numFmtId="171" fontId="2" fillId="0" borderId="9" xfId="0" applyNumberFormat="1" applyFont="1" applyBorder="1" applyAlignment="1">
      <alignment horizontal="right" wrapText="1"/>
    </xf>
    <xf numFmtId="0" fontId="0" fillId="0" borderId="8" xfId="0" applyBorder="1" applyAlignment="1">
      <alignment horizontal="right"/>
    </xf>
    <xf numFmtId="171" fontId="2" fillId="0" borderId="10" xfId="0" applyNumberFormat="1" applyFont="1" applyBorder="1" applyAlignment="1">
      <alignment horizontal="right" wrapText="1"/>
    </xf>
    <xf numFmtId="0" fontId="0" fillId="0" borderId="3" xfId="0" applyBorder="1" applyAlignment="1">
      <alignment horizontal="centerContinuous"/>
    </xf>
    <xf numFmtId="0" fontId="0" fillId="0" borderId="8" xfId="0" quotePrefix="1" applyBorder="1" applyAlignment="1">
      <alignment horizontal="right"/>
    </xf>
    <xf numFmtId="0" fontId="0" fillId="0" borderId="10"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2" xfId="0" applyFill="1" applyBorder="1" applyAlignment="1">
      <alignment horizontal="left" indent="5"/>
    </xf>
    <xf numFmtId="0" fontId="0" fillId="0" borderId="8" xfId="0" applyFill="1" applyBorder="1" applyAlignment="1">
      <alignment horizontal="right"/>
    </xf>
    <xf numFmtId="0" fontId="0" fillId="0" borderId="1" xfId="0" applyFill="1" applyBorder="1" applyAlignment="1">
      <alignment horizontal="right"/>
    </xf>
    <xf numFmtId="0" fontId="0" fillId="0" borderId="2" xfId="0" applyBorder="1"/>
    <xf numFmtId="0" fontId="0" fillId="0" borderId="2" xfId="0" applyFill="1" applyBorder="1" applyAlignment="1">
      <alignment horizontal="center"/>
    </xf>
    <xf numFmtId="0" fontId="0" fillId="0" borderId="2" xfId="0" quotePrefix="1" applyFill="1" applyBorder="1" applyAlignment="1">
      <alignment horizontal="left" indent="5"/>
    </xf>
    <xf numFmtId="0" fontId="4" fillId="0" borderId="0" xfId="0" applyFont="1" applyFill="1" applyAlignment="1">
      <alignment horizontal="left"/>
    </xf>
    <xf numFmtId="0" fontId="0" fillId="0" borderId="0" xfId="0" quotePrefix="1" applyFill="1" applyBorder="1" applyAlignment="1">
      <alignment horizontal="left"/>
    </xf>
    <xf numFmtId="165" fontId="2" fillId="0" borderId="0" xfId="0" quotePrefix="1" applyNumberFormat="1" applyFont="1" applyBorder="1" applyAlignment="1">
      <alignment horizontal="right"/>
    </xf>
    <xf numFmtId="165" fontId="2" fillId="0" borderId="0" xfId="0" quotePrefix="1" applyNumberFormat="1" applyFont="1" applyFill="1" applyBorder="1" applyAlignment="1">
      <alignment horizontal="right"/>
    </xf>
    <xf numFmtId="177" fontId="0" fillId="0" borderId="0" xfId="0" applyNumberFormat="1" applyFill="1" applyBorder="1"/>
    <xf numFmtId="165" fontId="0" fillId="0" borderId="0" xfId="0" applyNumberFormat="1" applyFill="1" applyBorder="1"/>
    <xf numFmtId="176" fontId="0" fillId="0" borderId="0" xfId="0" applyNumberFormat="1" applyFill="1" applyAlignment="1">
      <alignment horizontal="right"/>
    </xf>
    <xf numFmtId="0" fontId="0" fillId="0" borderId="0" xfId="0" applyFill="1" applyAlignment="1">
      <alignment horizontal="left" indent="2"/>
    </xf>
    <xf numFmtId="171" fontId="2" fillId="0" borderId="0" xfId="0" applyNumberFormat="1" applyFont="1" applyFill="1" applyBorder="1" applyAlignment="1">
      <alignment horizontal="right" wrapText="1"/>
    </xf>
    <xf numFmtId="165" fontId="0" fillId="0" borderId="0" xfId="0" applyNumberFormat="1" applyFill="1" applyAlignment="1">
      <alignment horizontal="right"/>
    </xf>
    <xf numFmtId="3" fontId="2" fillId="0" borderId="0" xfId="0" quotePrefix="1" applyNumberFormat="1" applyFont="1" applyFill="1" applyBorder="1" applyAlignment="1">
      <alignment horizontal="left"/>
    </xf>
    <xf numFmtId="0" fontId="2" fillId="0" borderId="0" xfId="0" quotePrefix="1" applyFont="1" applyFill="1" applyBorder="1" applyAlignment="1">
      <alignment horizontal="left" indent="2"/>
    </xf>
    <xf numFmtId="3" fontId="0" fillId="0" borderId="0" xfId="0" applyNumberFormat="1" applyFill="1" applyBorder="1"/>
    <xf numFmtId="0" fontId="4" fillId="0" borderId="0" xfId="0" quotePrefix="1" applyFont="1" applyFill="1" applyBorder="1" applyAlignment="1">
      <alignment horizontal="left"/>
    </xf>
    <xf numFmtId="165" fontId="0" fillId="0" borderId="0" xfId="0" applyNumberFormat="1" applyFill="1"/>
    <xf numFmtId="0" fontId="0" fillId="0" borderId="0" xfId="0" applyFill="1" applyBorder="1" applyAlignment="1">
      <alignment horizontal="right"/>
    </xf>
    <xf numFmtId="174" fontId="0" fillId="0" borderId="0" xfId="0" applyNumberFormat="1" applyBorder="1"/>
    <xf numFmtId="0" fontId="0" fillId="0" borderId="0" xfId="0" applyBorder="1" applyAlignment="1">
      <alignment horizontal="left" indent="2"/>
    </xf>
    <xf numFmtId="3" fontId="2"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xf numFmtId="0" fontId="0" fillId="0" borderId="0" xfId="0" applyAlignment="1">
      <alignment horizontal="left" indent="4"/>
    </xf>
    <xf numFmtId="0" fontId="0" fillId="0" borderId="0" xfId="0" applyBorder="1" applyAlignment="1">
      <alignment horizontal="left" indent="4"/>
    </xf>
    <xf numFmtId="0" fontId="2" fillId="0" borderId="0" xfId="0" quotePrefix="1" applyFont="1" applyBorder="1" applyAlignment="1">
      <alignment horizontal="left" indent="4"/>
    </xf>
    <xf numFmtId="3" fontId="0" fillId="0" borderId="0" xfId="0" applyNumberFormat="1" applyFill="1" applyAlignment="1">
      <alignment horizontal="right"/>
    </xf>
    <xf numFmtId="3" fontId="4" fillId="0" borderId="0" xfId="0" applyNumberFormat="1" applyFont="1" applyFill="1"/>
    <xf numFmtId="0" fontId="4" fillId="0" borderId="0" xfId="0" applyFont="1" applyFill="1"/>
    <xf numFmtId="171" fontId="4" fillId="0" borderId="0" xfId="0" applyNumberFormat="1" applyFont="1" applyFill="1"/>
    <xf numFmtId="165" fontId="4" fillId="0" borderId="0" xfId="0" applyNumberFormat="1" applyFont="1" applyFill="1" applyAlignment="1">
      <alignment horizontal="right"/>
    </xf>
    <xf numFmtId="176" fontId="4" fillId="0" borderId="0" xfId="0" applyNumberFormat="1" applyFont="1" applyFill="1"/>
    <xf numFmtId="165" fontId="4" fillId="0" borderId="0" xfId="0" applyNumberFormat="1" applyFont="1" applyAlignment="1">
      <alignment horizontal="right"/>
    </xf>
    <xf numFmtId="165" fontId="4" fillId="0" borderId="0" xfId="0" applyNumberFormat="1" applyFont="1" applyFill="1"/>
    <xf numFmtId="0" fontId="4" fillId="0" borderId="0" xfId="0" applyFont="1" applyBorder="1" applyAlignment="1">
      <alignment horizontal="right"/>
    </xf>
    <xf numFmtId="0" fontId="4" fillId="0" borderId="1" xfId="0" applyFont="1" applyBorder="1" applyAlignment="1">
      <alignment horizontal="right"/>
    </xf>
    <xf numFmtId="6" fontId="0" fillId="0" borderId="0" xfId="0" quotePrefix="1" applyNumberFormat="1" applyFill="1" applyBorder="1" applyAlignment="1">
      <alignment horizontal="right"/>
    </xf>
    <xf numFmtId="177" fontId="2" fillId="0" borderId="0" xfId="0" applyNumberFormat="1" applyFont="1" applyFill="1" applyBorder="1"/>
    <xf numFmtId="6" fontId="0" fillId="0" borderId="12" xfId="0" quotePrefix="1" applyNumberFormat="1" applyFill="1" applyBorder="1" applyAlignment="1">
      <alignment horizontal="right"/>
    </xf>
    <xf numFmtId="0" fontId="0" fillId="0" borderId="13" xfId="0" applyFill="1" applyBorder="1" applyAlignment="1">
      <alignment horizontal="right"/>
    </xf>
    <xf numFmtId="171" fontId="2" fillId="0" borderId="13" xfId="0" applyNumberFormat="1" applyFont="1" applyBorder="1" applyAlignment="1">
      <alignment horizontal="right" wrapText="1"/>
    </xf>
    <xf numFmtId="0" fontId="2" fillId="0" borderId="9" xfId="0" applyFont="1" applyBorder="1"/>
    <xf numFmtId="0" fontId="2" fillId="0" borderId="13" xfId="0" applyFont="1" applyBorder="1"/>
    <xf numFmtId="0" fontId="4" fillId="0" borderId="34" xfId="0" applyFont="1"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Continuous"/>
    </xf>
    <xf numFmtId="0" fontId="4" fillId="0" borderId="35" xfId="0" applyFont="1" applyBorder="1" applyAlignment="1">
      <alignment horizontal="centerContinuous"/>
    </xf>
    <xf numFmtId="0" fontId="4" fillId="0" borderId="37" xfId="0" applyFont="1" applyBorder="1" applyAlignment="1">
      <alignment horizontal="centerContinuous"/>
    </xf>
    <xf numFmtId="0" fontId="0" fillId="0" borderId="18" xfId="0" applyFill="1" applyBorder="1" applyAlignment="1">
      <alignment horizontal="right"/>
    </xf>
    <xf numFmtId="171" fontId="4" fillId="0" borderId="23" xfId="0" applyNumberFormat="1" applyFont="1" applyBorder="1" applyAlignment="1">
      <alignment horizontal="right" wrapText="1"/>
    </xf>
    <xf numFmtId="171" fontId="2" fillId="0" borderId="18" xfId="0" applyNumberFormat="1" applyFont="1" applyBorder="1" applyAlignment="1">
      <alignment horizontal="right" wrapText="1"/>
    </xf>
    <xf numFmtId="165" fontId="2" fillId="0" borderId="38" xfId="0" applyNumberFormat="1" applyFont="1" applyBorder="1"/>
    <xf numFmtId="3" fontId="2" fillId="0" borderId="22" xfId="0" applyNumberFormat="1" applyFont="1" applyBorder="1"/>
    <xf numFmtId="171" fontId="2" fillId="0" borderId="39" xfId="0" applyNumberFormat="1" applyFont="1" applyBorder="1" applyAlignment="1">
      <alignment horizontal="right" wrapText="1"/>
    </xf>
    <xf numFmtId="165" fontId="0" fillId="0" borderId="38" xfId="0" applyNumberFormat="1" applyBorder="1"/>
    <xf numFmtId="3" fontId="0" fillId="0" borderId="22" xfId="0" applyNumberFormat="1" applyBorder="1"/>
    <xf numFmtId="171" fontId="4" fillId="0" borderId="40" xfId="0" applyNumberFormat="1" applyFont="1" applyBorder="1" applyAlignment="1">
      <alignment horizontal="right" wrapText="1"/>
    </xf>
    <xf numFmtId="171" fontId="2" fillId="0" borderId="23" xfId="0" applyNumberFormat="1" applyFont="1" applyBorder="1" applyAlignment="1">
      <alignment horizontal="right" wrapText="1"/>
    </xf>
    <xf numFmtId="0" fontId="0" fillId="0" borderId="15" xfId="0" applyFill="1" applyBorder="1"/>
    <xf numFmtId="171" fontId="4" fillId="0" borderId="18" xfId="0" applyNumberFormat="1" applyFont="1" applyBorder="1" applyAlignment="1">
      <alignment horizontal="right" wrapText="1"/>
    </xf>
    <xf numFmtId="0" fontId="0" fillId="0" borderId="19" xfId="0" applyFill="1" applyBorder="1"/>
    <xf numFmtId="0" fontId="0" fillId="0" borderId="31" xfId="0" applyBorder="1"/>
    <xf numFmtId="0" fontId="4" fillId="0" borderId="32" xfId="0" quotePrefix="1" applyFont="1" applyBorder="1" applyAlignment="1">
      <alignment horizontal="right"/>
    </xf>
    <xf numFmtId="165" fontId="2" fillId="0" borderId="32" xfId="0" applyNumberFormat="1" applyFont="1" applyBorder="1"/>
    <xf numFmtId="0" fontId="0" fillId="0" borderId="32" xfId="0" applyBorder="1"/>
    <xf numFmtId="0" fontId="0" fillId="0" borderId="33" xfId="0" applyBorder="1"/>
    <xf numFmtId="0" fontId="3" fillId="0" borderId="0" xfId="0" quotePrefix="1" applyFont="1" applyAlignment="1">
      <alignment horizontal="left"/>
    </xf>
    <xf numFmtId="0" fontId="0" fillId="0" borderId="0" xfId="0" quotePrefix="1" applyAlignment="1">
      <alignment horizontal="left" indent="4"/>
    </xf>
    <xf numFmtId="0" fontId="4" fillId="0" borderId="0" xfId="0" applyFont="1" applyAlignment="1">
      <alignment horizontal="left" indent="4"/>
    </xf>
    <xf numFmtId="0" fontId="0" fillId="0" borderId="0" xfId="0" applyFill="1" applyAlignment="1">
      <alignment horizontal="right"/>
    </xf>
    <xf numFmtId="0" fontId="0" fillId="0" borderId="0" xfId="0" quotePrefix="1" applyFill="1" applyAlignment="1">
      <alignment horizontal="right"/>
    </xf>
    <xf numFmtId="168" fontId="2" fillId="0" borderId="0" xfId="0" quotePrefix="1" applyNumberFormat="1" applyFont="1" applyFill="1" applyAlignment="1">
      <alignment horizontal="right"/>
    </xf>
    <xf numFmtId="168" fontId="2" fillId="0" borderId="0" xfId="0" quotePrefix="1" applyNumberFormat="1" applyFont="1" applyFill="1" applyBorder="1" applyAlignment="1">
      <alignment horizontal="right"/>
    </xf>
    <xf numFmtId="171" fontId="0" fillId="0" borderId="0" xfId="0" applyNumberFormat="1" applyFill="1" applyAlignment="1">
      <alignment horizontal="right"/>
    </xf>
    <xf numFmtId="171" fontId="0" fillId="0" borderId="0" xfId="0" applyNumberFormat="1" applyBorder="1"/>
    <xf numFmtId="171" fontId="4" fillId="0" borderId="0" xfId="0" applyNumberFormat="1" applyFont="1" applyFill="1" applyAlignment="1">
      <alignment horizontal="right"/>
    </xf>
    <xf numFmtId="165" fontId="4" fillId="0" borderId="0" xfId="0" applyNumberFormat="1" applyFont="1" applyBorder="1"/>
    <xf numFmtId="171" fontId="4" fillId="0" borderId="0" xfId="0" applyNumberFormat="1" applyFont="1" applyBorder="1"/>
    <xf numFmtId="0" fontId="2" fillId="0" borderId="0" xfId="0" applyFont="1" applyFill="1" applyBorder="1" applyAlignment="1">
      <alignment horizontal="left"/>
    </xf>
    <xf numFmtId="164" fontId="2" fillId="0" borderId="0" xfId="0" quotePrefix="1" applyNumberFormat="1" applyFont="1" applyFill="1" applyBorder="1" applyAlignment="1">
      <alignment horizontal="left"/>
    </xf>
    <xf numFmtId="175" fontId="0" fillId="0" borderId="2" xfId="0" applyNumberFormat="1" applyFill="1" applyBorder="1"/>
    <xf numFmtId="175" fontId="0" fillId="0" borderId="7" xfId="0" applyNumberFormat="1" applyFill="1" applyBorder="1"/>
    <xf numFmtId="175" fontId="0" fillId="0" borderId="0" xfId="0" applyNumberFormat="1" applyFill="1" applyBorder="1"/>
    <xf numFmtId="175" fontId="2" fillId="0" borderId="6" xfId="0" applyNumberFormat="1" applyFont="1" applyFill="1" applyBorder="1" applyAlignment="1">
      <alignment horizontal="center"/>
    </xf>
    <xf numFmtId="175" fontId="2" fillId="0" borderId="7" xfId="0" applyNumberFormat="1" applyFont="1" applyFill="1" applyBorder="1" applyAlignment="1">
      <alignment horizontal="center"/>
    </xf>
    <xf numFmtId="175" fontId="0" fillId="3" borderId="2" xfId="0" applyNumberFormat="1" applyFill="1" applyBorder="1"/>
    <xf numFmtId="0" fontId="0" fillId="0" borderId="0" xfId="0" applyBorder="1" applyAlignment="1">
      <alignment horizontal="centerContinuous"/>
    </xf>
    <xf numFmtId="0" fontId="3" fillId="0" borderId="0" xfId="0" applyFont="1" applyBorder="1" applyAlignment="1">
      <alignment horizontal="centerContinuous"/>
    </xf>
    <xf numFmtId="0" fontId="3" fillId="0" borderId="0" xfId="0" quotePrefix="1" applyFont="1" applyBorder="1" applyAlignment="1">
      <alignment horizontal="centerContinuous"/>
    </xf>
    <xf numFmtId="3" fontId="3" fillId="0" borderId="0" xfId="0" quotePrefix="1" applyNumberFormat="1" applyFont="1" applyBorder="1" applyAlignment="1">
      <alignment horizontal="right" wrapText="1"/>
    </xf>
    <xf numFmtId="3" fontId="3" fillId="0" borderId="0" xfId="0" applyNumberFormat="1" applyFont="1" applyBorder="1" applyAlignment="1">
      <alignment horizontal="right" wrapText="1"/>
    </xf>
    <xf numFmtId="175" fontId="1" fillId="0" borderId="0" xfId="7" applyNumberFormat="1" applyBorder="1"/>
    <xf numFmtId="175" fontId="0" fillId="0" borderId="0" xfId="0" applyNumberFormat="1" applyBorder="1"/>
    <xf numFmtId="171" fontId="2" fillId="0" borderId="0" xfId="0" quotePrefix="1" applyNumberFormat="1" applyFont="1" applyFill="1" applyBorder="1" applyAlignment="1">
      <alignment horizontal="left"/>
    </xf>
    <xf numFmtId="184" fontId="2" fillId="0" borderId="0" xfId="7" applyNumberFormat="1" applyFont="1"/>
    <xf numFmtId="177" fontId="2" fillId="0" borderId="0" xfId="0" applyNumberFormat="1" applyFont="1" applyFill="1" applyBorder="1" applyAlignment="1">
      <alignment horizontal="right" wrapText="1"/>
    </xf>
    <xf numFmtId="171" fontId="2" fillId="0" borderId="0" xfId="0" applyNumberFormat="1" applyFont="1" applyFill="1" applyBorder="1" applyAlignment="1">
      <alignment horizontal="right"/>
    </xf>
    <xf numFmtId="10" fontId="2" fillId="0" borderId="0" xfId="0" quotePrefix="1" applyNumberFormat="1" applyFont="1" applyFill="1" applyAlignment="1">
      <alignment horizontal="left"/>
    </xf>
    <xf numFmtId="175" fontId="2" fillId="0" borderId="0" xfId="0" applyNumberFormat="1" applyFont="1" applyFill="1" applyAlignment="1">
      <alignment horizontal="right"/>
    </xf>
    <xf numFmtId="171" fontId="2" fillId="0" borderId="0" xfId="0" applyNumberFormat="1" applyFont="1" applyFill="1" applyBorder="1" applyAlignment="1">
      <alignment wrapText="1"/>
    </xf>
    <xf numFmtId="171" fontId="2" fillId="0" borderId="0" xfId="0" applyNumberFormat="1" applyFont="1" applyFill="1" applyAlignment="1"/>
    <xf numFmtId="3" fontId="2" fillId="0" borderId="0" xfId="0" applyNumberFormat="1" applyFont="1" applyFill="1" applyBorder="1" applyAlignment="1">
      <alignment wrapText="1"/>
    </xf>
    <xf numFmtId="9" fontId="2" fillId="0" borderId="0" xfId="0" applyNumberFormat="1" applyFont="1" applyFill="1" applyAlignment="1">
      <alignment horizontal="right"/>
    </xf>
    <xf numFmtId="0" fontId="4" fillId="0" borderId="0" xfId="0" quotePrefix="1" applyFont="1" applyFill="1" applyAlignment="1">
      <alignment horizontal="right"/>
    </xf>
    <xf numFmtId="164" fontId="2" fillId="0" borderId="0" xfId="0" applyNumberFormat="1" applyFont="1" applyFill="1" applyBorder="1" applyAlignment="1">
      <alignment horizontal="right"/>
    </xf>
    <xf numFmtId="164" fontId="2" fillId="0" borderId="0" xfId="0" quotePrefix="1" applyNumberFormat="1" applyFont="1" applyFill="1" applyBorder="1" applyAlignment="1">
      <alignment horizontal="right" wrapText="1"/>
    </xf>
    <xf numFmtId="0" fontId="2" fillId="0" borderId="0" xfId="0" quotePrefix="1" applyFont="1" applyFill="1" applyAlignment="1">
      <alignment horizontal="right" wrapText="1"/>
    </xf>
    <xf numFmtId="0" fontId="3" fillId="0" borderId="0" xfId="0" applyFont="1" applyFill="1" applyAlignment="1">
      <alignment horizontal="right"/>
    </xf>
    <xf numFmtId="0" fontId="3" fillId="0" borderId="0" xfId="0" quotePrefix="1" applyFont="1" applyFill="1" applyAlignment="1">
      <alignment horizontal="right"/>
    </xf>
    <xf numFmtId="3" fontId="2" fillId="0" borderId="0" xfId="0" applyNumberFormat="1" applyFont="1" applyFill="1" applyBorder="1" applyAlignment="1">
      <alignment horizontal="right" wrapText="1"/>
    </xf>
    <xf numFmtId="175" fontId="0" fillId="0" borderId="0" xfId="7" applyNumberFormat="1" applyFont="1"/>
    <xf numFmtId="176" fontId="0" fillId="0" borderId="13" xfId="0" applyNumberFormat="1" applyBorder="1"/>
    <xf numFmtId="181" fontId="2" fillId="2" borderId="41" xfId="0" applyNumberFormat="1" applyFont="1" applyFill="1" applyBorder="1"/>
    <xf numFmtId="0" fontId="4" fillId="0" borderId="7" xfId="0" quotePrefix="1" applyFont="1" applyFill="1" applyBorder="1" applyAlignment="1">
      <alignment horizontal="left"/>
    </xf>
    <xf numFmtId="0" fontId="2" fillId="0" borderId="0" xfId="0" quotePrefix="1" applyFont="1" applyAlignment="1">
      <alignment horizontal="left" vertical="center"/>
    </xf>
    <xf numFmtId="0" fontId="0" fillId="0" borderId="0" xfId="0" applyAlignment="1"/>
    <xf numFmtId="170" fontId="2" fillId="0" borderId="0" xfId="0" applyNumberFormat="1" applyFont="1" applyAlignment="1"/>
    <xf numFmtId="172" fontId="2" fillId="0" borderId="0" xfId="0" applyNumberFormat="1" applyFont="1" applyBorder="1"/>
    <xf numFmtId="170" fontId="2" fillId="0" borderId="0" xfId="0" applyNumberFormat="1" applyFont="1" applyBorder="1"/>
    <xf numFmtId="171" fontId="2" fillId="0" borderId="0" xfId="0" quotePrefix="1" applyNumberFormat="1" applyFont="1" applyAlignment="1">
      <alignment horizontal="left"/>
    </xf>
    <xf numFmtId="3" fontId="0" fillId="0" borderId="0" xfId="0" quotePrefix="1" applyNumberFormat="1" applyBorder="1" applyAlignment="1">
      <alignment horizontal="right"/>
    </xf>
    <xf numFmtId="175" fontId="2" fillId="0" borderId="0" xfId="7" applyNumberFormat="1" applyFont="1" applyBorder="1"/>
    <xf numFmtId="176" fontId="0" fillId="0" borderId="0" xfId="0" applyNumberFormat="1" applyFill="1" applyBorder="1"/>
    <xf numFmtId="165" fontId="2" fillId="0" borderId="0" xfId="0" applyNumberFormat="1" applyFont="1" applyFill="1" applyBorder="1"/>
    <xf numFmtId="3" fontId="2" fillId="0" borderId="0" xfId="0" applyNumberFormat="1" applyFont="1" applyFill="1" applyBorder="1"/>
    <xf numFmtId="171" fontId="4" fillId="0" borderId="0" xfId="0" applyNumberFormat="1" applyFont="1" applyFill="1" applyBorder="1" applyAlignment="1">
      <alignment horizontal="right" wrapText="1"/>
    </xf>
    <xf numFmtId="0" fontId="4" fillId="0" borderId="0" xfId="0" applyFont="1" applyFill="1" applyBorder="1"/>
    <xf numFmtId="3" fontId="4" fillId="0" borderId="0" xfId="0" applyNumberFormat="1" applyFont="1" applyFill="1" applyBorder="1"/>
    <xf numFmtId="0" fontId="4"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xf numFmtId="0" fontId="2" fillId="0" borderId="0" xfId="0" applyFont="1" applyAlignment="1">
      <alignment horizontal="left" vertical="center" wrapText="1"/>
    </xf>
    <xf numFmtId="0" fontId="0" fillId="0" borderId="0" xfId="0"/>
    <xf numFmtId="0" fontId="2" fillId="0" borderId="0" xfId="0" quotePrefix="1" applyFont="1" applyAlignment="1">
      <alignment horizontal="left" wrapText="1"/>
    </xf>
    <xf numFmtId="0" fontId="0" fillId="0" borderId="0" xfId="0" applyAlignment="1">
      <alignment wrapText="1"/>
    </xf>
    <xf numFmtId="0" fontId="2" fillId="0" borderId="0" xfId="0" quotePrefix="1" applyFont="1" applyAlignment="1">
      <alignment horizontal="left" vertical="center" wrapText="1"/>
    </xf>
    <xf numFmtId="0" fontId="0" fillId="0" borderId="0" xfId="0" applyAlignment="1">
      <alignment vertical="center" wrapText="1"/>
    </xf>
  </cellXfs>
  <cellStyles count="8">
    <cellStyle name="ac" xfId="1" xr:uid="{00000000-0005-0000-0000-000000000000}"/>
    <cellStyle name="Milliers [0]_EDYAN" xfId="2" xr:uid="{00000000-0005-0000-0000-000001000000}"/>
    <cellStyle name="Milliers_EDYAN" xfId="3" xr:uid="{00000000-0005-0000-0000-000002000000}"/>
    <cellStyle name="Monétaire [0]_EDYAN" xfId="4" xr:uid="{00000000-0005-0000-0000-000003000000}"/>
    <cellStyle name="Monétaire_EDYAN" xfId="5" xr:uid="{00000000-0005-0000-0000-000004000000}"/>
    <cellStyle name="Normal" xfId="0" builtinId="0"/>
    <cellStyle name="Normal - Style1" xfId="6"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H11"/>
  <sheetViews>
    <sheetView zoomScale="70" workbookViewId="0"/>
  </sheetViews>
  <sheetFormatPr defaultRowHeight="13.2" x14ac:dyDescent="0.25"/>
  <sheetData>
    <row r="9" spans="1:8" ht="17.399999999999999" x14ac:dyDescent="0.3">
      <c r="A9" s="167" t="s">
        <v>557</v>
      </c>
      <c r="B9" s="107"/>
      <c r="C9" s="107"/>
      <c r="D9" s="107"/>
      <c r="E9" s="107"/>
      <c r="F9" s="107"/>
      <c r="G9" s="107"/>
      <c r="H9" s="107"/>
    </row>
    <row r="10" spans="1:8" ht="17.399999999999999" x14ac:dyDescent="0.3">
      <c r="A10" s="167" t="s">
        <v>395</v>
      </c>
      <c r="B10" s="107"/>
      <c r="C10" s="107"/>
      <c r="D10" s="107"/>
      <c r="E10" s="107"/>
      <c r="F10" s="107"/>
      <c r="G10" s="107"/>
      <c r="H10" s="107"/>
    </row>
    <row r="11" spans="1:8" ht="17.399999999999999" x14ac:dyDescent="0.3">
      <c r="A11" s="167" t="s">
        <v>823</v>
      </c>
      <c r="B11" s="107"/>
      <c r="C11" s="107"/>
      <c r="D11" s="107"/>
      <c r="E11" s="107"/>
      <c r="F11" s="107"/>
      <c r="G11" s="107"/>
      <c r="H11" s="107"/>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K66"/>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0" s="13" customFormat="1" ht="15.6" x14ac:dyDescent="0.3">
      <c r="A1" s="157" t="s">
        <v>552</v>
      </c>
      <c r="B1" s="19"/>
      <c r="C1" s="19"/>
      <c r="D1" s="19"/>
      <c r="E1" s="19"/>
      <c r="F1" s="19"/>
      <c r="G1" s="19"/>
      <c r="H1" s="19"/>
      <c r="I1" s="19"/>
      <c r="J1" s="19"/>
    </row>
    <row r="2" spans="1:10" s="13" customFormat="1" ht="15.6" x14ac:dyDescent="0.3">
      <c r="A2" s="158" t="s">
        <v>787</v>
      </c>
      <c r="B2" s="19"/>
      <c r="C2" s="19"/>
      <c r="D2" s="19"/>
      <c r="E2" s="19"/>
      <c r="F2" s="19"/>
      <c r="G2" s="19"/>
      <c r="H2" s="19"/>
      <c r="I2" s="19"/>
      <c r="J2" s="19"/>
    </row>
    <row r="3" spans="1:10" ht="26.4" x14ac:dyDescent="0.25">
      <c r="B3" s="168" t="s">
        <v>109</v>
      </c>
      <c r="C3" s="168"/>
      <c r="D3" s="169" t="s">
        <v>104</v>
      </c>
      <c r="E3" s="169"/>
      <c r="F3" s="168" t="s">
        <v>110</v>
      </c>
      <c r="G3" s="168"/>
      <c r="H3" s="170" t="s">
        <v>97</v>
      </c>
      <c r="I3" s="170"/>
      <c r="J3" s="171" t="s">
        <v>105</v>
      </c>
    </row>
    <row r="4" spans="1:10" x14ac:dyDescent="0.25">
      <c r="A4" s="333" t="s">
        <v>642</v>
      </c>
    </row>
    <row r="5" spans="1:10" x14ac:dyDescent="0.25">
      <c r="A5" s="353" t="s">
        <v>481</v>
      </c>
      <c r="B5" s="6">
        <f>'Table 3.24-CIOSS Detail'!E13</f>
        <v>744003.04968605714</v>
      </c>
      <c r="C5" s="241" t="s">
        <v>242</v>
      </c>
      <c r="D5" s="83">
        <f>F5/B5</f>
        <v>6.1698581461821903E-2</v>
      </c>
      <c r="F5" s="175">
        <f>'Table 3.24-CIOSS Detail'!K13</f>
        <v>45903.932768899125</v>
      </c>
      <c r="G5" s="241" t="s">
        <v>242</v>
      </c>
      <c r="H5" s="358">
        <f>B5/$B$48</f>
        <v>0.62708265205505209</v>
      </c>
      <c r="J5" s="22">
        <f>D5*H5</f>
        <v>3.8690110091113949E-2</v>
      </c>
    </row>
    <row r="6" spans="1:10" x14ac:dyDescent="0.25">
      <c r="A6" s="353" t="s">
        <v>95</v>
      </c>
      <c r="B6" s="6">
        <f>'Table 3.28-REC Volume'!G13</f>
        <v>282721.1588807017</v>
      </c>
      <c r="C6" s="241" t="s">
        <v>243</v>
      </c>
      <c r="D6" s="83">
        <f>F6/B6</f>
        <v>0</v>
      </c>
      <c r="F6" s="175">
        <v>0</v>
      </c>
      <c r="G6" s="241"/>
      <c r="H6" s="358">
        <f>B6/$B$48</f>
        <v>0.23829140778091978</v>
      </c>
      <c r="J6" s="22">
        <f>D6*H6</f>
        <v>0</v>
      </c>
    </row>
    <row r="7" spans="1:10" x14ac:dyDescent="0.25">
      <c r="A7" s="239" t="s">
        <v>499</v>
      </c>
      <c r="B7" s="6">
        <f>'Table 3.28-REC Volume'!H13</f>
        <v>424081.73832105257</v>
      </c>
      <c r="C7" s="241" t="s">
        <v>243</v>
      </c>
      <c r="D7" s="83">
        <f>F7/B7</f>
        <v>9.3196293506615485E-2</v>
      </c>
      <c r="F7" s="175">
        <f>'Table 3.26-REC Detail NonACS'!K13</f>
        <v>39522.846155364517</v>
      </c>
      <c r="G7" s="241" t="s">
        <v>582</v>
      </c>
      <c r="H7" s="358">
        <f>B7/$B$48</f>
        <v>0.3574371116713797</v>
      </c>
      <c r="J7" s="22">
        <f>D7*H7</f>
        <v>3.3311813969482795E-2</v>
      </c>
    </row>
    <row r="8" spans="1:10" x14ac:dyDescent="0.25">
      <c r="A8" s="239" t="s">
        <v>676</v>
      </c>
      <c r="B8" s="6">
        <v>0</v>
      </c>
      <c r="C8" s="27"/>
      <c r="D8" s="83">
        <v>0</v>
      </c>
      <c r="F8" s="175">
        <v>0</v>
      </c>
      <c r="G8" s="27"/>
      <c r="H8" s="358">
        <f>B8/$B$48</f>
        <v>0</v>
      </c>
      <c r="J8" s="22">
        <f>D8*H8</f>
        <v>0</v>
      </c>
    </row>
    <row r="9" spans="1:10" x14ac:dyDescent="0.25">
      <c r="A9" s="239" t="s">
        <v>488</v>
      </c>
      <c r="B9" s="6">
        <f>'Table 3.18-Nixie UAA'!D37</f>
        <v>37200.152484302853</v>
      </c>
      <c r="C9" s="241" t="s">
        <v>244</v>
      </c>
      <c r="D9" s="83">
        <f>F9/B9</f>
        <v>1.7042797185071894E-2</v>
      </c>
      <c r="F9" s="175">
        <f>'Table 3.18-Nixie UAA'!I37</f>
        <v>633.99465404372188</v>
      </c>
      <c r="G9" s="241" t="s">
        <v>244</v>
      </c>
      <c r="H9" s="358">
        <f>B9/$B$48</f>
        <v>3.1354132602752598E-2</v>
      </c>
      <c r="J9" s="22">
        <f>D9*H9</f>
        <v>5.3436212286256282E-4</v>
      </c>
    </row>
    <row r="10" spans="1:10" x14ac:dyDescent="0.25">
      <c r="A10" s="82" t="s">
        <v>102</v>
      </c>
      <c r="B10" s="6">
        <f>B5</f>
        <v>744003.04968605714</v>
      </c>
      <c r="D10" s="83">
        <f>F10/B10</f>
        <v>0.11567260861984631</v>
      </c>
      <c r="F10" s="165">
        <f>SUM(F5:F9)</f>
        <v>86060.773578307359</v>
      </c>
      <c r="H10" s="142"/>
      <c r="J10" s="22">
        <f>SUM(J5:J9)</f>
        <v>7.2536286183459309E-2</v>
      </c>
    </row>
    <row r="11" spans="1:10" ht="5.0999999999999996" customHeight="1" x14ac:dyDescent="0.25">
      <c r="A11" s="82"/>
      <c r="B11" s="6"/>
      <c r="F11" s="165"/>
      <c r="H11" s="142"/>
    </row>
    <row r="12" spans="1:10" x14ac:dyDescent="0.25">
      <c r="A12" s="333" t="s">
        <v>643</v>
      </c>
      <c r="B12" s="6"/>
      <c r="F12" s="165"/>
      <c r="H12" s="142"/>
    </row>
    <row r="13" spans="1:10" x14ac:dyDescent="0.25">
      <c r="A13" s="353" t="s">
        <v>481</v>
      </c>
      <c r="B13" s="6">
        <f>SUM('Table 3.24-CIOSS Detail'!E6,'Table 3.24-CIOSS Detail'!E10)</f>
        <v>142518.74443179899</v>
      </c>
      <c r="C13" s="241" t="s">
        <v>242</v>
      </c>
      <c r="D13" s="83">
        <f>F13/B13</f>
        <v>6.1698581461821896E-2</v>
      </c>
      <c r="F13" s="175">
        <f>SUM('Table 3.24-CIOSS Detail'!K6,'Table 3.24-CIOSS Detail'!K10)</f>
        <v>8793.2043631619254</v>
      </c>
      <c r="G13" s="241" t="s">
        <v>242</v>
      </c>
      <c r="H13" s="358">
        <f>B13/$B$48</f>
        <v>0.12012186275790146</v>
      </c>
      <c r="J13" s="22">
        <f>D13*H13</f>
        <v>7.411348534714173E-3</v>
      </c>
    </row>
    <row r="14" spans="1:10" x14ac:dyDescent="0.25">
      <c r="A14" s="353" t="s">
        <v>95</v>
      </c>
      <c r="B14" s="6">
        <f>SUM('Table 3.28-REC Volume'!G6,'Table 3.28-REC Volume'!G10)</f>
        <v>55972.871729730112</v>
      </c>
      <c r="C14" s="241" t="s">
        <v>243</v>
      </c>
      <c r="D14" s="83">
        <f>F14/B14</f>
        <v>0</v>
      </c>
      <c r="F14" s="175">
        <v>0</v>
      </c>
      <c r="H14" s="358">
        <f>B14/$B$48</f>
        <v>4.717671098556276E-2</v>
      </c>
      <c r="J14" s="22">
        <f>D14*H14</f>
        <v>0</v>
      </c>
    </row>
    <row r="15" spans="1:10" x14ac:dyDescent="0.25">
      <c r="A15" s="239" t="s">
        <v>499</v>
      </c>
      <c r="B15" s="6">
        <f>SUM('Table 3.28-REC Volume'!H6)</f>
        <v>7308.7670390896828</v>
      </c>
      <c r="C15" s="241" t="s">
        <v>243</v>
      </c>
      <c r="D15" s="83">
        <f>F15/B15</f>
        <v>9.3196293506615499E-2</v>
      </c>
      <c r="F15" s="165">
        <f>SUM('Table 3.26-REC Detail NonACS'!K6)</f>
        <v>681.14999814647922</v>
      </c>
      <c r="G15" s="241" t="s">
        <v>582</v>
      </c>
      <c r="H15" s="358">
        <f>B15/$B$48</f>
        <v>6.1601911713384198E-3</v>
      </c>
      <c r="J15" s="22">
        <f>D15*H15</f>
        <v>5.7410698446091687E-4</v>
      </c>
    </row>
    <row r="16" spans="1:10" x14ac:dyDescent="0.25">
      <c r="A16" s="239" t="s">
        <v>676</v>
      </c>
      <c r="B16" s="6">
        <f>SUM('Table 3.28-REC Volume'!H10)</f>
        <v>76650.540555505475</v>
      </c>
      <c r="C16" s="241" t="s">
        <v>243</v>
      </c>
      <c r="D16" s="83">
        <f>F16/B16</f>
        <v>4.659814675330775E-2</v>
      </c>
      <c r="F16" s="165">
        <f>SUM('Table 3.26-REC Detail NonACS'!K10)</f>
        <v>3571.7731375258113</v>
      </c>
      <c r="G16" s="241" t="s">
        <v>582</v>
      </c>
      <c r="H16" s="358">
        <f>B16/$B$48</f>
        <v>6.4604875307005719E-2</v>
      </c>
      <c r="J16" s="22">
        <f>D16*H16</f>
        <v>3.0104674605350005E-3</v>
      </c>
    </row>
    <row r="17" spans="1:10" x14ac:dyDescent="0.25">
      <c r="A17" s="239" t="s">
        <v>489</v>
      </c>
      <c r="B17" s="6">
        <v>2586.5651074737193</v>
      </c>
      <c r="C17" s="12" t="s">
        <v>586</v>
      </c>
      <c r="D17" s="83">
        <f>'Table 3.21-CFS CIOSS Rejs'!I19</f>
        <v>0.27564836282572269</v>
      </c>
      <c r="E17" s="12" t="s">
        <v>587</v>
      </c>
      <c r="F17" s="165">
        <f>B17*D17</f>
        <v>712.98243721727022</v>
      </c>
      <c r="H17" s="358">
        <f>B17/$B$48</f>
        <v>2.1800852939945648E-3</v>
      </c>
      <c r="J17" s="22">
        <f>D17*H17</f>
        <v>6.0093694211003608E-4</v>
      </c>
    </row>
    <row r="18" spans="1:10" x14ac:dyDescent="0.25">
      <c r="A18" s="82" t="s">
        <v>102</v>
      </c>
      <c r="B18" s="6">
        <f>B13</f>
        <v>142518.74443179899</v>
      </c>
      <c r="D18" s="83">
        <f>F18/B18</f>
        <v>9.6542458263346398E-2</v>
      </c>
      <c r="F18" s="165">
        <f>SUM(F13:F17)</f>
        <v>13759.109936051485</v>
      </c>
      <c r="H18" s="142"/>
      <c r="J18" s="22">
        <f>SUM(J13:J17)</f>
        <v>1.1596859921820126E-2</v>
      </c>
    </row>
    <row r="19" spans="1:10" ht="5.0999999999999996" customHeight="1" x14ac:dyDescent="0.25"/>
    <row r="20" spans="1:10" x14ac:dyDescent="0.25">
      <c r="A20" s="15" t="s">
        <v>644</v>
      </c>
    </row>
    <row r="21" spans="1:10" x14ac:dyDescent="0.25">
      <c r="A21" s="353" t="s">
        <v>307</v>
      </c>
      <c r="B21" s="6">
        <f>'Table 3.16-Route UAA PARS'!D108</f>
        <v>9096.9411339446251</v>
      </c>
      <c r="C21" s="285" t="s">
        <v>590</v>
      </c>
      <c r="D21" s="83">
        <f t="shared" ref="D21:D26" si="0">F21/B21</f>
        <v>6.3545772359948849E-2</v>
      </c>
      <c r="E21" s="285"/>
      <c r="F21" s="175">
        <f>'Table 3.16-Route UAA PARS'!J108</f>
        <v>578.07215046950012</v>
      </c>
      <c r="G21" s="285" t="s">
        <v>590</v>
      </c>
      <c r="H21" s="358">
        <f t="shared" ref="H21:H27" si="1">B21/$B$48</f>
        <v>7.6673529419937171E-3</v>
      </c>
      <c r="J21" s="22">
        <f t="shared" ref="J21:J27" si="2">D21*H21</f>
        <v>4.8722786465531682E-4</v>
      </c>
    </row>
    <row r="22" spans="1:10" x14ac:dyDescent="0.25">
      <c r="A22" s="353" t="s">
        <v>495</v>
      </c>
      <c r="B22" s="6">
        <f>'Table 3.18-Nixie UAA'!D8</f>
        <v>9096.9411339446251</v>
      </c>
      <c r="C22" s="285" t="s">
        <v>591</v>
      </c>
      <c r="D22" s="83">
        <f t="shared" si="0"/>
        <v>6.857126034491348E-3</v>
      </c>
      <c r="E22" s="285"/>
      <c r="F22" s="175">
        <f>'Table 3.18-Nixie UAA'!I8</f>
        <v>62.378871883806937</v>
      </c>
      <c r="G22" s="285" t="s">
        <v>591</v>
      </c>
      <c r="H22" s="358">
        <f t="shared" si="1"/>
        <v>7.6673529419937171E-3</v>
      </c>
      <c r="J22" s="22">
        <f t="shared" si="2"/>
        <v>5.2576005474178951E-5</v>
      </c>
    </row>
    <row r="23" spans="1:10" x14ac:dyDescent="0.25">
      <c r="A23" s="353" t="s">
        <v>481</v>
      </c>
      <c r="B23" s="6">
        <f>SUM('Table 3.24-CIOSS Detail'!E21,'Table 3.24-CIOSS Detail'!E25)</f>
        <v>9096.9411339446251</v>
      </c>
      <c r="C23" s="241" t="s">
        <v>242</v>
      </c>
      <c r="D23" s="83">
        <f t="shared" si="0"/>
        <v>4.6456383543023193E-2</v>
      </c>
      <c r="E23" s="285"/>
      <c r="F23" s="175">
        <f>SUM('Table 3.24-CIOSS Detail'!K21,'Table 3.24-CIOSS Detail'!K25)</f>
        <v>422.6109863868358</v>
      </c>
      <c r="G23" s="241" t="s">
        <v>242</v>
      </c>
      <c r="H23" s="358">
        <f t="shared" si="1"/>
        <v>7.6673529419937171E-3</v>
      </c>
      <c r="J23" s="22">
        <f t="shared" si="2"/>
        <v>3.5619748903298738E-4</v>
      </c>
    </row>
    <row r="24" spans="1:10" x14ac:dyDescent="0.25">
      <c r="A24" s="353" t="s">
        <v>95</v>
      </c>
      <c r="B24" s="6">
        <f>SUM('Table 3.28-REC Volume'!G21,'Table 3.28-REC Volume'!G25)</f>
        <v>2054.323483697543</v>
      </c>
      <c r="C24" s="241" t="s">
        <v>243</v>
      </c>
      <c r="D24" s="83">
        <f t="shared" si="0"/>
        <v>0</v>
      </c>
      <c r="F24" s="175">
        <v>0</v>
      </c>
      <c r="H24" s="358">
        <f t="shared" si="1"/>
        <v>1.7314856691509751E-3</v>
      </c>
      <c r="J24" s="22">
        <f t="shared" si="2"/>
        <v>0</v>
      </c>
    </row>
    <row r="25" spans="1:10" x14ac:dyDescent="0.25">
      <c r="A25" s="239" t="s">
        <v>499</v>
      </c>
      <c r="B25" s="6">
        <f>SUM('Table 3.28-REC Volume'!H21)</f>
        <v>598.69687447862361</v>
      </c>
      <c r="C25" s="241" t="s">
        <v>243</v>
      </c>
      <c r="D25" s="83">
        <f t="shared" si="0"/>
        <v>9.3196293506615485E-2</v>
      </c>
      <c r="E25" s="285"/>
      <c r="F25" s="175">
        <f>SUM('Table 3.26-REC Detail NonACS'!K21)</f>
        <v>55.79632963540314</v>
      </c>
      <c r="G25" s="241" t="s">
        <v>582</v>
      </c>
      <c r="H25" s="358">
        <f t="shared" si="1"/>
        <v>5.046114044607009E-4</v>
      </c>
      <c r="J25" s="22">
        <f t="shared" si="2"/>
        <v>4.7027912556904942E-5</v>
      </c>
    </row>
    <row r="26" spans="1:10" ht="12.75" customHeight="1" x14ac:dyDescent="0.25">
      <c r="A26" s="239" t="s">
        <v>676</v>
      </c>
      <c r="B26" s="6">
        <f>SUM('Table 3.28-REC Volume'!H25)</f>
        <v>6278.8208752914115</v>
      </c>
      <c r="C26" s="241" t="s">
        <v>243</v>
      </c>
      <c r="D26" s="83">
        <f t="shared" si="0"/>
        <v>4.6598146753307756E-2</v>
      </c>
      <c r="E26" s="285"/>
      <c r="F26" s="175">
        <f>SUM('Table 3.26-REC Detail NonACS'!K25)</f>
        <v>292.58141658456145</v>
      </c>
      <c r="G26" s="241" t="s">
        <v>582</v>
      </c>
      <c r="H26" s="358">
        <f t="shared" si="1"/>
        <v>5.2921014879143023E-3</v>
      </c>
      <c r="J26" s="22">
        <f t="shared" si="2"/>
        <v>2.4660212176722901E-4</v>
      </c>
    </row>
    <row r="27" spans="1:10" x14ac:dyDescent="0.25">
      <c r="A27" s="239" t="s">
        <v>489</v>
      </c>
      <c r="B27" s="6">
        <f>'Table 3.21-CFS CIOSS Rejs'!B19-B17</f>
        <v>165.09990047704605</v>
      </c>
      <c r="C27" s="285" t="s">
        <v>592</v>
      </c>
      <c r="D27" s="83">
        <f>'Table 3.21-CFS CIOSS Rejs'!I19</f>
        <v>0.27564836282572269</v>
      </c>
      <c r="E27" s="12" t="s">
        <v>587</v>
      </c>
      <c r="F27" s="165">
        <f>B27*D27</f>
        <v>45.509517269187498</v>
      </c>
      <c r="H27" s="358">
        <f t="shared" si="1"/>
        <v>1.3915438046773829E-4</v>
      </c>
      <c r="J27" s="22">
        <f t="shared" si="2"/>
        <v>3.8357677155959783E-5</v>
      </c>
    </row>
    <row r="28" spans="1:10" x14ac:dyDescent="0.25">
      <c r="A28" s="100" t="s">
        <v>102</v>
      </c>
      <c r="B28" s="324">
        <f>B21</f>
        <v>9096.9411339446251</v>
      </c>
      <c r="C28" s="18"/>
      <c r="D28" s="83">
        <f>F28/B28</f>
        <v>0.16015815105066319</v>
      </c>
      <c r="E28" s="18"/>
      <c r="F28" s="113">
        <f>SUM(F21:F27)</f>
        <v>1456.9492722292946</v>
      </c>
      <c r="G28" s="18"/>
      <c r="H28" s="142"/>
      <c r="I28" s="18"/>
      <c r="J28" s="552">
        <f>SUM(J21:J27)</f>
        <v>1.2279890706425769E-3</v>
      </c>
    </row>
    <row r="29" spans="1:10" ht="5.0999999999999996" customHeight="1" x14ac:dyDescent="0.25">
      <c r="A29" s="100"/>
      <c r="B29" s="324"/>
      <c r="C29" s="18"/>
      <c r="D29" s="18"/>
      <c r="E29" s="18"/>
      <c r="F29" s="113"/>
      <c r="G29" s="18"/>
      <c r="H29" s="142"/>
      <c r="I29" s="18"/>
      <c r="J29" s="18"/>
    </row>
    <row r="30" spans="1:10" ht="12.75" customHeight="1" x14ac:dyDescent="0.25">
      <c r="A30" s="15" t="s">
        <v>645</v>
      </c>
      <c r="B30" s="324"/>
      <c r="C30" s="18"/>
      <c r="D30" s="18"/>
      <c r="E30" s="18"/>
      <c r="F30" s="113"/>
      <c r="G30" s="18"/>
      <c r="H30" s="142"/>
      <c r="I30" s="18"/>
      <c r="J30" s="18"/>
    </row>
    <row r="31" spans="1:10" ht="12.75" customHeight="1" x14ac:dyDescent="0.25">
      <c r="A31" s="353" t="s">
        <v>481</v>
      </c>
      <c r="B31" s="324">
        <f>'Table 3.24-CIOSS Detail'!E16</f>
        <v>20609.732538860237</v>
      </c>
      <c r="C31" s="241" t="s">
        <v>242</v>
      </c>
      <c r="D31" s="83">
        <f>F31/B31</f>
        <v>6.1698581461821909E-2</v>
      </c>
      <c r="E31" s="18"/>
      <c r="F31" s="113">
        <f>'Table 3.24-CIOSS Detail'!K16</f>
        <v>1271.59126195523</v>
      </c>
      <c r="G31" s="241" t="s">
        <v>242</v>
      </c>
      <c r="H31" s="358">
        <f>B31/$B$48</f>
        <v>1.7370904251087747E-2</v>
      </c>
      <c r="I31" s="18"/>
      <c r="J31" s="22">
        <f>D31*H31</f>
        <v>1.071760151001246E-3</v>
      </c>
    </row>
    <row r="32" spans="1:10" ht="12.75" customHeight="1" x14ac:dyDescent="0.25">
      <c r="A32" s="353" t="s">
        <v>95</v>
      </c>
      <c r="B32" s="324">
        <f>'Table 3.28-REC Volume'!G16</f>
        <v>8120.2346203109328</v>
      </c>
      <c r="C32" s="241" t="s">
        <v>243</v>
      </c>
      <c r="D32" s="83">
        <f>F32/B32</f>
        <v>0</v>
      </c>
      <c r="E32" s="18"/>
      <c r="F32" s="113">
        <v>0</v>
      </c>
      <c r="G32" s="18"/>
      <c r="H32" s="358">
        <f>B32/$B$48</f>
        <v>6.8441362749285719E-3</v>
      </c>
      <c r="I32" s="18"/>
      <c r="J32" s="22">
        <f>D32*H32</f>
        <v>0</v>
      </c>
    </row>
    <row r="33" spans="1:10" ht="12.75" customHeight="1" x14ac:dyDescent="0.25">
      <c r="A33" s="239" t="s">
        <v>499</v>
      </c>
      <c r="B33" s="6">
        <v>0</v>
      </c>
      <c r="D33" s="83">
        <v>0</v>
      </c>
      <c r="F33" s="175">
        <v>0</v>
      </c>
      <c r="G33" s="18"/>
      <c r="H33" s="358">
        <f>B33/$B$48</f>
        <v>0</v>
      </c>
      <c r="I33" s="18"/>
      <c r="J33" s="22">
        <f>D33*H33</f>
        <v>0</v>
      </c>
    </row>
    <row r="34" spans="1:10" ht="12.75" customHeight="1" x14ac:dyDescent="0.25">
      <c r="A34" s="239" t="s">
        <v>676</v>
      </c>
      <c r="B34" s="324">
        <f>'Table 3.28-REC Volume'!H16</f>
        <v>12180.351930466399</v>
      </c>
      <c r="C34" s="241" t="s">
        <v>243</v>
      </c>
      <c r="D34" s="83">
        <f>F34/B34</f>
        <v>4.6598146753307756E-2</v>
      </c>
      <c r="E34" s="285"/>
      <c r="F34" s="175">
        <f>SUM('Table 3.26-REC Detail NonACS'!K16)</f>
        <v>567.58182676280865</v>
      </c>
      <c r="G34" s="241" t="s">
        <v>582</v>
      </c>
      <c r="H34" s="358">
        <f>B34/$B$48</f>
        <v>1.0266204412392857E-2</v>
      </c>
      <c r="I34" s="18"/>
      <c r="J34" s="22">
        <f>D34*H34</f>
        <v>4.7838609980813796E-4</v>
      </c>
    </row>
    <row r="35" spans="1:10" ht="12.75" customHeight="1" x14ac:dyDescent="0.25">
      <c r="A35" s="239" t="s">
        <v>489</v>
      </c>
      <c r="B35" s="324">
        <v>309.1459880829043</v>
      </c>
      <c r="C35" s="327" t="s">
        <v>593</v>
      </c>
      <c r="D35" s="83">
        <f>'Table 3.21-CFS CIOSS Rejs'!I76</f>
        <v>2.2201699592231065E-2</v>
      </c>
      <c r="E35" s="12" t="s">
        <v>587</v>
      </c>
      <c r="F35" s="165">
        <f>B35*D35</f>
        <v>6.863566357560086</v>
      </c>
      <c r="G35" s="18"/>
      <c r="H35" s="358">
        <f>B35/$B$48</f>
        <v>2.6056356376631684E-4</v>
      </c>
      <c r="I35" s="18"/>
      <c r="J35" s="22">
        <f>D35*H35</f>
        <v>5.7849539674209094E-6</v>
      </c>
    </row>
    <row r="36" spans="1:10" ht="12.75" customHeight="1" x14ac:dyDescent="0.25">
      <c r="A36" s="100" t="s">
        <v>102</v>
      </c>
      <c r="B36" s="324">
        <f>B31</f>
        <v>20609.732538860237</v>
      </c>
      <c r="C36" s="18"/>
      <c r="D36" s="83">
        <f>F36/B36</f>
        <v>8.957111168691026E-2</v>
      </c>
      <c r="E36" s="18"/>
      <c r="F36" s="113">
        <f>SUM(F31:F35)</f>
        <v>1846.0366550755989</v>
      </c>
      <c r="G36" s="18"/>
      <c r="H36" s="142"/>
      <c r="I36" s="18"/>
      <c r="J36" s="552">
        <f>SUM(J31:J35)</f>
        <v>1.5559312047768049E-3</v>
      </c>
    </row>
    <row r="37" spans="1:10" ht="5.0999999999999996" customHeight="1" x14ac:dyDescent="0.25">
      <c r="A37" s="100"/>
      <c r="B37" s="324"/>
      <c r="C37" s="18"/>
      <c r="D37" s="18"/>
      <c r="E37" s="18"/>
      <c r="F37" s="113"/>
      <c r="G37" s="18"/>
      <c r="H37" s="142"/>
      <c r="I37" s="18"/>
      <c r="J37" s="18"/>
    </row>
    <row r="38" spans="1:10" ht="12.75" customHeight="1" x14ac:dyDescent="0.25">
      <c r="A38" s="15" t="s">
        <v>646</v>
      </c>
      <c r="B38" s="324"/>
      <c r="C38" s="18"/>
      <c r="D38" s="18"/>
      <c r="E38" s="18"/>
      <c r="F38" s="113"/>
      <c r="G38" s="18"/>
      <c r="H38" s="142"/>
      <c r="I38" s="18"/>
      <c r="J38" s="18"/>
    </row>
    <row r="39" spans="1:10" ht="12.75" customHeight="1" x14ac:dyDescent="0.25">
      <c r="A39" s="353" t="s">
        <v>307</v>
      </c>
      <c r="B39" s="324">
        <f>'Table 3.16-Route UAA PARS'!D101</f>
        <v>270222.86720933911</v>
      </c>
      <c r="C39" s="285" t="s">
        <v>590</v>
      </c>
      <c r="D39" s="83">
        <f>F39/B39</f>
        <v>7.1046947867282176E-2</v>
      </c>
      <c r="E39" s="18"/>
      <c r="F39" s="113">
        <f>'Table 3.16-Route UAA PARS'!J101</f>
        <v>19198.509959169431</v>
      </c>
      <c r="G39" s="285" t="s">
        <v>590</v>
      </c>
      <c r="H39" s="358">
        <f t="shared" ref="H39:H45" si="3">B39/$B$48</f>
        <v>0.22775722799396492</v>
      </c>
      <c r="I39" s="18"/>
      <c r="J39" s="22">
        <f t="shared" ref="J39:J45" si="4">D39*H39</f>
        <v>1.6181455903683927E-2</v>
      </c>
    </row>
    <row r="40" spans="1:10" ht="12.75" customHeight="1" x14ac:dyDescent="0.25">
      <c r="A40" s="353" t="s">
        <v>495</v>
      </c>
      <c r="B40" s="324">
        <f>'Table 3.18-Nixie UAA'!D11</f>
        <v>270222.86720933911</v>
      </c>
      <c r="C40" s="285" t="s">
        <v>591</v>
      </c>
      <c r="D40" s="83">
        <f>F40/B40</f>
        <v>6.8571260344913489E-3</v>
      </c>
      <c r="E40" s="18"/>
      <c r="F40" s="113">
        <f>'Table 3.18-Nixie UAA'!I11</f>
        <v>1852.9522578560577</v>
      </c>
      <c r="G40" s="285" t="s">
        <v>591</v>
      </c>
      <c r="H40" s="358">
        <f t="shared" si="3"/>
        <v>0.22775722799396492</v>
      </c>
      <c r="I40" s="18"/>
      <c r="J40" s="22">
        <f t="shared" si="4"/>
        <v>1.5617600176209988E-3</v>
      </c>
    </row>
    <row r="41" spans="1:10" ht="12.75" customHeight="1" x14ac:dyDescent="0.25">
      <c r="A41" s="353" t="s">
        <v>481</v>
      </c>
      <c r="B41" s="324">
        <f>SUM('Table 3.24-CIOSS Detail'!E31,'Table 3.24-CIOSS Detail'!E37)</f>
        <v>270222.86720933911</v>
      </c>
      <c r="C41" s="241" t="s">
        <v>242</v>
      </c>
      <c r="D41" s="83">
        <f>F41/B41</f>
        <v>3.1522684851642425E-2</v>
      </c>
      <c r="E41" s="18"/>
      <c r="F41" s="113">
        <f>SUM('Table 3.24-CIOSS Detail'!K31,'Table 3.24-CIOSS Detail'!K37)</f>
        <v>8518.1502827472159</v>
      </c>
      <c r="G41" s="241" t="s">
        <v>242</v>
      </c>
      <c r="H41" s="358">
        <f t="shared" si="3"/>
        <v>0.22775722799396492</v>
      </c>
      <c r="I41" s="18"/>
      <c r="J41" s="22">
        <f t="shared" si="4"/>
        <v>7.1795193207374285E-3</v>
      </c>
    </row>
    <row r="42" spans="1:10" ht="12.75" customHeight="1" x14ac:dyDescent="0.25">
      <c r="A42" s="353" t="s">
        <v>95</v>
      </c>
      <c r="B42" s="324">
        <f>SUM('Table 3.28-REC Volume'!G31,'Table 3.28-REC Volume'!G37)</f>
        <v>106247.52672003501</v>
      </c>
      <c r="C42" s="241" t="s">
        <v>243</v>
      </c>
      <c r="D42" s="83">
        <f>F42/B42</f>
        <v>0</v>
      </c>
      <c r="E42" s="18"/>
      <c r="F42" s="113">
        <v>0</v>
      </c>
      <c r="G42" s="18"/>
      <c r="H42" s="358">
        <f t="shared" si="3"/>
        <v>8.9550682430674655E-2</v>
      </c>
      <c r="I42" s="18"/>
      <c r="J42" s="22">
        <f t="shared" si="4"/>
        <v>0</v>
      </c>
    </row>
    <row r="43" spans="1:10" ht="12.75" customHeight="1" x14ac:dyDescent="0.25">
      <c r="A43" s="239" t="s">
        <v>499</v>
      </c>
      <c r="B43" s="6">
        <v>0</v>
      </c>
      <c r="C43" s="241"/>
      <c r="D43" s="83">
        <v>0</v>
      </c>
      <c r="F43" s="175">
        <v>0</v>
      </c>
      <c r="G43" s="18"/>
      <c r="H43" s="358">
        <f t="shared" si="3"/>
        <v>0</v>
      </c>
      <c r="I43" s="18"/>
      <c r="J43" s="22">
        <f t="shared" si="4"/>
        <v>0</v>
      </c>
    </row>
    <row r="44" spans="1:10" ht="12.75" customHeight="1" x14ac:dyDescent="0.25">
      <c r="A44" s="239" t="s">
        <v>676</v>
      </c>
      <c r="B44" s="324">
        <f>SUM('Table 3.28-REC Volume'!H31,'Table 3.28-REC Volume'!H37)</f>
        <v>159921.997481164</v>
      </c>
      <c r="C44" s="241" t="s">
        <v>243</v>
      </c>
      <c r="D44" s="83">
        <f>F44/B44</f>
        <v>4.659814675330775E-2</v>
      </c>
      <c r="E44" s="285"/>
      <c r="F44" s="165">
        <f>SUM('Table 3.26-REC Detail NonACS'!K31,'Table 3.26-REC Detail NonACS'!K37)</f>
        <v>7452.0687077093926</v>
      </c>
      <c r="G44" s="241" t="s">
        <v>582</v>
      </c>
      <c r="H44" s="358">
        <f t="shared" si="3"/>
        <v>0.13479018714338079</v>
      </c>
      <c r="I44" s="18"/>
      <c r="J44" s="22">
        <f t="shared" si="4"/>
        <v>6.2809729214130736E-3</v>
      </c>
    </row>
    <row r="45" spans="1:10" ht="12.75" customHeight="1" x14ac:dyDescent="0.25">
      <c r="A45" s="239" t="s">
        <v>489</v>
      </c>
      <c r="B45" s="324">
        <f>'Table 3.21-CFS CIOSS Rejs'!B76-B35</f>
        <v>4053.3430081400866</v>
      </c>
      <c r="C45" s="327" t="s">
        <v>594</v>
      </c>
      <c r="D45" s="83">
        <f>'Table 3.21-CFS CIOSS Rejs'!I76</f>
        <v>2.2201699592231065E-2</v>
      </c>
      <c r="E45" s="12" t="s">
        <v>587</v>
      </c>
      <c r="F45" s="165">
        <f>B45*D45</f>
        <v>89.991103810996393</v>
      </c>
      <c r="G45" s="18"/>
      <c r="H45" s="358">
        <f t="shared" si="3"/>
        <v>3.4163584199094739E-3</v>
      </c>
      <c r="I45" s="18"/>
      <c r="J45" s="22">
        <f t="shared" si="4"/>
        <v>7.5848963338219331E-5</v>
      </c>
    </row>
    <row r="46" spans="1:10" ht="12.75" customHeight="1" x14ac:dyDescent="0.25">
      <c r="A46" s="100" t="s">
        <v>102</v>
      </c>
      <c r="B46" s="324">
        <f>B39</f>
        <v>270222.86720933911</v>
      </c>
      <c r="C46" s="18"/>
      <c r="D46" s="83">
        <f>F46/B46</f>
        <v>0.13733727531853557</v>
      </c>
      <c r="E46" s="18"/>
      <c r="F46" s="113">
        <f>SUM(F39:F45)</f>
        <v>37111.672311293085</v>
      </c>
      <c r="G46" s="18"/>
      <c r="H46" s="142"/>
      <c r="I46" s="18"/>
      <c r="J46" s="552">
        <f>SUM(J39:J45)</f>
        <v>3.1279557126793645E-2</v>
      </c>
    </row>
    <row r="47" spans="1:10" ht="5.0999999999999996" customHeight="1" x14ac:dyDescent="0.25">
      <c r="A47" s="100"/>
      <c r="B47" s="324"/>
      <c r="C47" s="18"/>
      <c r="D47" s="18"/>
      <c r="E47" s="18"/>
      <c r="F47" s="113"/>
      <c r="G47" s="18"/>
      <c r="H47" s="142"/>
      <c r="I47" s="18"/>
      <c r="J47" s="18"/>
    </row>
    <row r="48" spans="1:10" x14ac:dyDescent="0.25">
      <c r="A48" s="91" t="s">
        <v>504</v>
      </c>
      <c r="B48" s="393">
        <f>SUM(B10,B18,B28,B36,B46)</f>
        <v>1186451.3350000002</v>
      </c>
      <c r="C48" s="18"/>
      <c r="D48" s="83"/>
      <c r="E48" s="18"/>
      <c r="F48" s="510">
        <f>SUM(F10,F18,F28,F36,F46)</f>
        <v>140234.54175295681</v>
      </c>
      <c r="G48" s="18"/>
      <c r="H48" s="142"/>
      <c r="I48" s="18"/>
      <c r="J48" s="413">
        <f>SUM(J10,J18,J28,J36,J46)</f>
        <v>0.11819662350749245</v>
      </c>
    </row>
    <row r="49" spans="1:11" hidden="1" x14ac:dyDescent="0.25">
      <c r="A49" s="5"/>
      <c r="B49" s="240"/>
      <c r="F49" s="359"/>
      <c r="H49" s="6"/>
      <c r="J49" s="6"/>
    </row>
    <row r="50" spans="1:11" hidden="1" x14ac:dyDescent="0.25">
      <c r="A50" s="23" t="s">
        <v>191</v>
      </c>
      <c r="B50" s="143">
        <f>B5-SUM(B6:B9)</f>
        <v>0</v>
      </c>
      <c r="G50" s="482" t="s">
        <v>311</v>
      </c>
      <c r="H50" s="6">
        <f>SUM('Table 3.16-Route UAA PARS'!J101,'Table 3.16-Route UAA PARS'!J108)</f>
        <v>19776.58210963893</v>
      </c>
      <c r="J50" s="6">
        <f>SUM(F21,F39)</f>
        <v>19776.58210963893</v>
      </c>
      <c r="K50" s="143">
        <f t="shared" ref="K50:K55" si="5">H50-J50</f>
        <v>0</v>
      </c>
    </row>
    <row r="51" spans="1:11" hidden="1" x14ac:dyDescent="0.25">
      <c r="A51" s="5"/>
      <c r="B51" s="143">
        <f>B13-SUM(B14:B17)</f>
        <v>0</v>
      </c>
      <c r="G51" s="46" t="s">
        <v>312</v>
      </c>
      <c r="H51" s="6">
        <f>SUM('Table 3.18-Nixie UAA'!I8,'Table 3.18-Nixie UAA'!I11,'Table 3.18-Nixie UAA'!I35,'Table 3.18-Nixie UAA'!I37)</f>
        <v>2549.3257837835863</v>
      </c>
      <c r="J51" s="6">
        <f>SUM(F9,F22,F40)</f>
        <v>2549.3257837835863</v>
      </c>
      <c r="K51" s="143">
        <f t="shared" si="5"/>
        <v>0</v>
      </c>
    </row>
    <row r="52" spans="1:11" hidden="1" x14ac:dyDescent="0.25">
      <c r="A52" s="5"/>
      <c r="B52" s="143">
        <f>B28-SUM(B24:B27)</f>
        <v>0</v>
      </c>
      <c r="G52" s="46" t="s">
        <v>313</v>
      </c>
      <c r="H52" s="6">
        <f>SUM('Table 3.21-CFS CIOSS Rejs'!H19,'Table 3.21-CFS CIOSS Rejs'!H76)</f>
        <v>855.34662465501412</v>
      </c>
      <c r="J52" s="6">
        <f>SUM(F17,F27,F35,F45)</f>
        <v>855.34662465501424</v>
      </c>
      <c r="K52" s="143">
        <f t="shared" si="5"/>
        <v>0</v>
      </c>
    </row>
    <row r="53" spans="1:11" hidden="1" x14ac:dyDescent="0.25">
      <c r="A53" s="5"/>
      <c r="B53" s="143">
        <f>B31-SUM(B32:B35)</f>
        <v>0</v>
      </c>
      <c r="G53" s="483" t="s">
        <v>502</v>
      </c>
      <c r="H53" s="6">
        <f>SUM('Table 3.23-CIOSS Summary'!I6,'Table 3.23-CIOSS Summary'!I10,'Table 3.23-CIOSS Summary'!I13)</f>
        <v>64909.489663150336</v>
      </c>
      <c r="J53" s="6">
        <f>SUM(F5,F13,F23,F31,F41)</f>
        <v>64909.489663150329</v>
      </c>
      <c r="K53" s="143">
        <f t="shared" si="5"/>
        <v>0</v>
      </c>
    </row>
    <row r="54" spans="1:11" hidden="1" x14ac:dyDescent="0.25">
      <c r="A54" s="5"/>
      <c r="B54" s="143">
        <f>B41-SUM(B42:B45)</f>
        <v>0</v>
      </c>
      <c r="G54" s="483" t="s">
        <v>503</v>
      </c>
      <c r="H54" s="6">
        <f>SUM('Table 3.25-REC Summary'!K6,'Table 3.25-REC Summary'!K10,'Table 3.25-REC Summary'!K13)</f>
        <v>52143.797571728974</v>
      </c>
      <c r="J54" s="6">
        <f>SUM(F7:F8,F15:F16,F25:F26,F33:F34,F43:F44)</f>
        <v>52143.797571728966</v>
      </c>
      <c r="K54" s="143">
        <f t="shared" si="5"/>
        <v>0</v>
      </c>
    </row>
    <row r="55" spans="1:11" hidden="1" x14ac:dyDescent="0.25">
      <c r="A55" s="5"/>
      <c r="B55" s="143">
        <f>B48-SUM('Table 3.23-CIOSS Summary'!C6,'Table 3.23-CIOSS Summary'!C10,'Table 3.23-CIOSS Summary'!C13)</f>
        <v>0</v>
      </c>
      <c r="G55" s="46" t="s">
        <v>314</v>
      </c>
      <c r="H55" s="6">
        <f>SUM(H50:H54)</f>
        <v>140234.54175295684</v>
      </c>
      <c r="J55" s="6">
        <f>SUM(J50:J54)</f>
        <v>140234.54175295684</v>
      </c>
      <c r="K55" s="143">
        <f t="shared" si="5"/>
        <v>0</v>
      </c>
    </row>
    <row r="56" spans="1:11" x14ac:dyDescent="0.25">
      <c r="A56" s="283"/>
      <c r="B56" s="283"/>
      <c r="C56" s="283"/>
      <c r="D56" s="283"/>
      <c r="E56" s="283"/>
      <c r="F56" s="283"/>
      <c r="H56" s="240"/>
    </row>
    <row r="57" spans="1:11" x14ac:dyDescent="0.25">
      <c r="A57" s="284" t="s">
        <v>235</v>
      </c>
    </row>
    <row r="58" spans="1:11" x14ac:dyDescent="0.25">
      <c r="A58" s="241" t="s">
        <v>67</v>
      </c>
      <c r="D58" s="12"/>
      <c r="E58" s="241" t="s">
        <v>73</v>
      </c>
    </row>
    <row r="59" spans="1:11" x14ac:dyDescent="0.25">
      <c r="A59" s="241" t="s">
        <v>68</v>
      </c>
      <c r="D59" s="12"/>
      <c r="E59" s="12" t="s">
        <v>619</v>
      </c>
    </row>
    <row r="60" spans="1:11" x14ac:dyDescent="0.25">
      <c r="A60" s="241" t="s">
        <v>69</v>
      </c>
      <c r="D60" s="12"/>
      <c r="E60" s="12" t="s">
        <v>74</v>
      </c>
    </row>
    <row r="61" spans="1:11" x14ac:dyDescent="0.25">
      <c r="A61" s="241" t="s">
        <v>31</v>
      </c>
      <c r="E61" s="12" t="s">
        <v>75</v>
      </c>
    </row>
    <row r="62" spans="1:11" x14ac:dyDescent="0.25">
      <c r="A62" s="241" t="s">
        <v>32</v>
      </c>
      <c r="E62" s="241" t="s">
        <v>76</v>
      </c>
    </row>
    <row r="63" spans="1:11" x14ac:dyDescent="0.25">
      <c r="A63" s="12" t="s">
        <v>70</v>
      </c>
      <c r="E63" s="241" t="s">
        <v>33</v>
      </c>
    </row>
    <row r="64" spans="1:11" x14ac:dyDescent="0.25">
      <c r="A64" s="12" t="s">
        <v>697</v>
      </c>
      <c r="E64" s="241" t="s">
        <v>34</v>
      </c>
    </row>
    <row r="65" spans="1:5" x14ac:dyDescent="0.25">
      <c r="A65" s="12" t="s">
        <v>71</v>
      </c>
      <c r="E65" s="241" t="s">
        <v>43</v>
      </c>
    </row>
    <row r="66" spans="1:5" x14ac:dyDescent="0.25">
      <c r="A66" s="12" t="s">
        <v>72</v>
      </c>
    </row>
  </sheetData>
  <phoneticPr fontId="5" type="noConversion"/>
  <printOptions horizontalCentered="1"/>
  <pageMargins left="0.75" right="0.75" top="1" bottom="1" header="0.5" footer="0.5"/>
  <pageSetup scale="66" orientation="landscape" r:id="rId1"/>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K31"/>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0" s="13" customFormat="1" ht="15.6" x14ac:dyDescent="0.3">
      <c r="A1" s="157" t="s">
        <v>553</v>
      </c>
      <c r="B1" s="19"/>
      <c r="C1" s="19"/>
      <c r="D1" s="19"/>
      <c r="E1" s="19"/>
      <c r="F1" s="19"/>
      <c r="G1" s="19"/>
      <c r="H1" s="19"/>
      <c r="I1" s="19"/>
      <c r="J1" s="19"/>
    </row>
    <row r="2" spans="1:10" s="13" customFormat="1" ht="15.6" x14ac:dyDescent="0.3">
      <c r="A2" s="158" t="s">
        <v>787</v>
      </c>
      <c r="B2" s="19"/>
      <c r="C2" s="19"/>
      <c r="D2" s="19"/>
      <c r="E2" s="19"/>
      <c r="F2" s="19"/>
      <c r="G2" s="19"/>
      <c r="H2" s="19"/>
      <c r="I2" s="19"/>
      <c r="J2" s="19"/>
    </row>
    <row r="3" spans="1:10" ht="26.4" x14ac:dyDescent="0.25">
      <c r="B3" s="168" t="s">
        <v>109</v>
      </c>
      <c r="C3" s="168"/>
      <c r="D3" s="169" t="s">
        <v>104</v>
      </c>
      <c r="E3" s="169"/>
      <c r="F3" s="168" t="s">
        <v>110</v>
      </c>
      <c r="G3" s="168"/>
      <c r="H3" s="170" t="s">
        <v>97</v>
      </c>
      <c r="I3" s="170"/>
      <c r="J3" s="171" t="s">
        <v>105</v>
      </c>
    </row>
    <row r="4" spans="1:10" x14ac:dyDescent="0.25">
      <c r="A4" s="333" t="s">
        <v>80</v>
      </c>
      <c r="E4" s="18"/>
      <c r="F4" s="113"/>
      <c r="G4" s="18"/>
      <c r="H4" s="142"/>
      <c r="I4" s="18"/>
      <c r="J4" s="18"/>
    </row>
    <row r="5" spans="1:10" x14ac:dyDescent="0.25">
      <c r="A5" s="353" t="s">
        <v>307</v>
      </c>
      <c r="B5" s="6">
        <f>'Table 3.15-Route UAA NoPARS'!D111+'Table 3.16-Route UAA PARS'!D111</f>
        <v>2175721.5538441222</v>
      </c>
      <c r="C5" s="12" t="s">
        <v>240</v>
      </c>
      <c r="D5" s="83">
        <f>F5/B5</f>
        <v>3.2045443064982033E-2</v>
      </c>
      <c r="E5" s="18"/>
      <c r="F5" s="175">
        <f>'Table 3.15-Route UAA NoPARS'!J111+'Table 3.16-Route UAA PARS'!J111</f>
        <v>69721.961178966056</v>
      </c>
      <c r="G5" s="12" t="s">
        <v>240</v>
      </c>
      <c r="H5" s="142">
        <f>B5/$B$20</f>
        <v>0.96469815265356718</v>
      </c>
      <c r="I5" s="18"/>
      <c r="J5" s="552">
        <f>D5*H5</f>
        <v>3.0914179725753232E-2</v>
      </c>
    </row>
    <row r="6" spans="1:10" x14ac:dyDescent="0.25">
      <c r="A6" s="82" t="s">
        <v>487</v>
      </c>
      <c r="B6" s="6">
        <f>SUM('Table 3.18-Nixie UAA'!D20,'Table 3.18-Nixie UAA'!D29)</f>
        <v>2175721.5538441227</v>
      </c>
      <c r="C6" s="12" t="s">
        <v>241</v>
      </c>
      <c r="D6" s="83">
        <f>F6/B6</f>
        <v>1.9152901805333161E-2</v>
      </c>
      <c r="E6" s="18"/>
      <c r="F6" s="175">
        <f>SUM('Table 3.18-Nixie UAA'!I20,'Table 3.18-Nixie UAA'!I29)</f>
        <v>41671.381276523367</v>
      </c>
      <c r="G6" s="12" t="s">
        <v>241</v>
      </c>
      <c r="H6" s="142">
        <f>B6/$B$20</f>
        <v>0.9646981526535674</v>
      </c>
      <c r="I6" s="18"/>
      <c r="J6" s="552">
        <f>D6*H6</f>
        <v>1.8476768989560077E-2</v>
      </c>
    </row>
    <row r="7" spans="1:10" x14ac:dyDescent="0.25">
      <c r="A7" s="82" t="s">
        <v>102</v>
      </c>
      <c r="B7" s="6">
        <f>B5</f>
        <v>2175721.5538441222</v>
      </c>
      <c r="D7" s="83">
        <f>F7/B7</f>
        <v>5.1198344870315195E-2</v>
      </c>
      <c r="E7" s="18"/>
      <c r="F7" s="113">
        <f>SUM(F5:F6)</f>
        <v>111393.34245548942</v>
      </c>
      <c r="G7" s="18"/>
      <c r="H7" s="355"/>
      <c r="I7" s="18"/>
      <c r="J7" s="552">
        <f>SUM(J5:J6)</f>
        <v>4.9390948715313313E-2</v>
      </c>
    </row>
    <row r="8" spans="1:10" ht="5.0999999999999996" customHeight="1" x14ac:dyDescent="0.25">
      <c r="E8" s="285"/>
      <c r="F8" s="175"/>
      <c r="G8" s="18"/>
      <c r="H8" s="142"/>
      <c r="I8" s="18"/>
      <c r="J8" s="83"/>
    </row>
    <row r="9" spans="1:10" x14ac:dyDescent="0.25">
      <c r="A9" s="15" t="s">
        <v>81</v>
      </c>
      <c r="E9" s="285"/>
      <c r="F9" s="175"/>
      <c r="G9" s="18"/>
      <c r="H9" s="142"/>
      <c r="I9" s="18"/>
      <c r="J9" s="83"/>
    </row>
    <row r="10" spans="1:10" x14ac:dyDescent="0.25">
      <c r="A10" s="353" t="s">
        <v>307</v>
      </c>
      <c r="B10" s="6">
        <f>'Table 3.15-Route UAA NoPARS'!D108</f>
        <v>45698.059247861893</v>
      </c>
      <c r="C10" s="12" t="s">
        <v>242</v>
      </c>
      <c r="D10" s="83">
        <f>F10/B10</f>
        <v>9.4653825017421339E-2</v>
      </c>
      <c r="E10" s="285"/>
      <c r="F10" s="175">
        <f>'Table 3.15-Route UAA NoPARS'!J108</f>
        <v>4325.4961036828727</v>
      </c>
      <c r="G10" s="12" t="s">
        <v>242</v>
      </c>
      <c r="H10" s="142">
        <f>B10/$B$20</f>
        <v>2.0262166938768145E-2</v>
      </c>
      <c r="I10" s="18"/>
      <c r="J10" s="552">
        <f>D10*H10</f>
        <v>1.9178916038959397E-3</v>
      </c>
    </row>
    <row r="11" spans="1:10" x14ac:dyDescent="0.25">
      <c r="A11" s="82" t="s">
        <v>96</v>
      </c>
      <c r="B11" s="6">
        <f>'Table 3.20-CFS Non-CIOSS'!B19</f>
        <v>45698.059247861878</v>
      </c>
      <c r="C11" s="12" t="s">
        <v>243</v>
      </c>
      <c r="D11" s="83">
        <f>F11/B11</f>
        <v>0.27564836282572286</v>
      </c>
      <c r="E11" s="18"/>
      <c r="F11" s="175">
        <f>'Table 3.20-CFS Non-CIOSS'!H19</f>
        <v>12596.59521598601</v>
      </c>
      <c r="G11" s="12" t="s">
        <v>243</v>
      </c>
      <c r="H11" s="142">
        <f>B11/$B$20</f>
        <v>2.0262166938768138E-2</v>
      </c>
      <c r="I11" s="18"/>
      <c r="J11" s="552">
        <f>D11*H11</f>
        <v>5.5852331439729258E-3</v>
      </c>
    </row>
    <row r="12" spans="1:10" x14ac:dyDescent="0.25">
      <c r="A12" s="100" t="s">
        <v>102</v>
      </c>
      <c r="B12" s="6">
        <f>B10</f>
        <v>45698.059247861893</v>
      </c>
      <c r="D12" s="83">
        <f>F12/B12</f>
        <v>0.37030218784314406</v>
      </c>
      <c r="E12" s="18"/>
      <c r="F12" s="113">
        <f>SUM(F10:F11)</f>
        <v>16922.091319668882</v>
      </c>
      <c r="G12" s="18"/>
      <c r="H12" s="355"/>
      <c r="I12" s="18"/>
      <c r="J12" s="552">
        <f>SUM(J10:J11)</f>
        <v>7.5031247478688657E-3</v>
      </c>
    </row>
    <row r="13" spans="1:10" ht="5.0999999999999996" customHeight="1" x14ac:dyDescent="0.25">
      <c r="A13" s="100"/>
      <c r="E13" s="18"/>
      <c r="F13" s="113"/>
      <c r="G13" s="18"/>
      <c r="H13" s="355"/>
      <c r="I13" s="18"/>
      <c r="J13" s="18"/>
    </row>
    <row r="14" spans="1:10" x14ac:dyDescent="0.25">
      <c r="A14" s="15" t="s">
        <v>82</v>
      </c>
      <c r="E14" s="18"/>
      <c r="F14" s="113"/>
      <c r="G14" s="18"/>
      <c r="H14" s="355"/>
      <c r="I14" s="18"/>
      <c r="J14" s="18"/>
    </row>
    <row r="15" spans="1:10" x14ac:dyDescent="0.25">
      <c r="A15" s="353" t="s">
        <v>307</v>
      </c>
      <c r="B15" s="6">
        <f>'Table 3.15-Route UAA NoPARS'!D101</f>
        <v>33919.580685290159</v>
      </c>
      <c r="C15" s="12" t="s">
        <v>242</v>
      </c>
      <c r="D15" s="83">
        <f>F15/B15</f>
        <v>0.1331989663110342</v>
      </c>
      <c r="E15" s="18"/>
      <c r="F15" s="175">
        <f>'Table 3.15-Route UAA NoPARS'!J101</f>
        <v>4518.0530849843699</v>
      </c>
      <c r="G15" s="12" t="s">
        <v>242</v>
      </c>
      <c r="H15" s="142">
        <f>B15/$B$20</f>
        <v>1.5039680407664605E-2</v>
      </c>
      <c r="I15" s="18"/>
      <c r="J15" s="552">
        <f>D15*H15</f>
        <v>2.0032698839492387E-3</v>
      </c>
    </row>
    <row r="16" spans="1:10" x14ac:dyDescent="0.25">
      <c r="A16" s="353" t="s">
        <v>309</v>
      </c>
      <c r="B16" s="6">
        <v>0</v>
      </c>
      <c r="C16" s="12" t="s">
        <v>241</v>
      </c>
      <c r="D16" s="83">
        <v>0</v>
      </c>
      <c r="E16" s="18"/>
      <c r="F16" s="175">
        <v>0</v>
      </c>
      <c r="G16" s="12" t="s">
        <v>241</v>
      </c>
      <c r="H16" s="142">
        <f>B16/$B$20</f>
        <v>0</v>
      </c>
      <c r="I16" s="18"/>
      <c r="J16" s="552">
        <f>D16*H16</f>
        <v>0</v>
      </c>
    </row>
    <row r="17" spans="1:11" x14ac:dyDescent="0.25">
      <c r="A17" s="82" t="s">
        <v>96</v>
      </c>
      <c r="B17" s="6">
        <f>'Table 3.20-CFS Non-CIOSS'!B76</f>
        <v>33919.580685290159</v>
      </c>
      <c r="C17" s="12" t="s">
        <v>243</v>
      </c>
      <c r="D17" s="83">
        <f>F17/B17</f>
        <v>2.220169959223121E-2</v>
      </c>
      <c r="E17" s="18"/>
      <c r="F17" s="175">
        <f>'Table 3.20-CFS Non-CIOSS'!H76</f>
        <v>753.07234066926014</v>
      </c>
      <c r="G17" s="12" t="s">
        <v>243</v>
      </c>
      <c r="H17" s="142">
        <f>B17/$B$20</f>
        <v>1.5039680407664605E-2</v>
      </c>
      <c r="I17" s="18"/>
      <c r="J17" s="552">
        <f>D17*H17</f>
        <v>3.3390646637413497E-4</v>
      </c>
    </row>
    <row r="18" spans="1:11" x14ac:dyDescent="0.25">
      <c r="A18" s="100" t="s">
        <v>102</v>
      </c>
      <c r="B18" s="6">
        <f>B15</f>
        <v>33919.580685290159</v>
      </c>
      <c r="D18" s="83">
        <f>F18/B18</f>
        <v>0.1554006659032654</v>
      </c>
      <c r="E18" s="18"/>
      <c r="F18" s="113">
        <f>SUM(F15:F17)</f>
        <v>5271.1254256536304</v>
      </c>
      <c r="G18" s="18"/>
      <c r="H18" s="355"/>
      <c r="I18" s="18"/>
      <c r="J18" s="552">
        <f>SUM(J15:J17)</f>
        <v>2.3371763503233734E-3</v>
      </c>
    </row>
    <row r="19" spans="1:11" ht="5.0999999999999996" customHeight="1" x14ac:dyDescent="0.25">
      <c r="A19" s="343"/>
      <c r="B19" s="324"/>
      <c r="C19" s="481"/>
      <c r="D19" s="18"/>
      <c r="E19" s="18"/>
      <c r="F19" s="113"/>
      <c r="G19" s="18"/>
      <c r="H19" s="355"/>
      <c r="I19" s="18"/>
      <c r="J19" s="18"/>
    </row>
    <row r="20" spans="1:11" x14ac:dyDescent="0.25">
      <c r="A20" s="91" t="s">
        <v>494</v>
      </c>
      <c r="B20" s="393">
        <f>SUM(B7,B12,B18)</f>
        <v>2255339.1937772743</v>
      </c>
      <c r="C20" s="18"/>
      <c r="D20" s="83"/>
      <c r="E20" s="18"/>
      <c r="F20" s="554">
        <f>SUM(F7,F12,F18)</f>
        <v>133586.55920081193</v>
      </c>
      <c r="G20" s="18"/>
      <c r="H20" s="355"/>
      <c r="I20" s="18"/>
      <c r="J20" s="555">
        <f>SUM(J7,J12,J18)</f>
        <v>5.9231249813505547E-2</v>
      </c>
    </row>
    <row r="21" spans="1:11" hidden="1" x14ac:dyDescent="0.25">
      <c r="A21" s="5"/>
      <c r="B21" s="240"/>
      <c r="F21" s="359"/>
      <c r="H21" s="6"/>
      <c r="J21" s="6"/>
    </row>
    <row r="22" spans="1:11" hidden="1" x14ac:dyDescent="0.25">
      <c r="A22" s="23" t="s">
        <v>191</v>
      </c>
      <c r="B22" s="484"/>
      <c r="G22" s="482" t="s">
        <v>311</v>
      </c>
      <c r="H22" s="6">
        <f>SUM('Table 3.15-Route UAA NoPARS'!J101,'Table 3.15-Route UAA NoPARS'!J108,'Table 3.15-Route UAA NoPARS'!J111)+'Table 3.16-Route UAA PARS'!J111</f>
        <v>78565.510367633295</v>
      </c>
      <c r="J22" s="6">
        <f>SUM(F5,F10,F15)</f>
        <v>78565.510367633295</v>
      </c>
      <c r="K22" s="143">
        <f>H22-J22</f>
        <v>0</v>
      </c>
    </row>
    <row r="23" spans="1:11" hidden="1" x14ac:dyDescent="0.25">
      <c r="A23" s="5"/>
      <c r="B23" s="484"/>
      <c r="G23" s="46" t="s">
        <v>312</v>
      </c>
      <c r="H23" s="6">
        <f>SUM('Table 3.18-Nixie UAA'!I20,'Table 3.18-Nixie UAA'!I29)</f>
        <v>41671.381276523367</v>
      </c>
      <c r="J23" s="6">
        <f>SUM(F6,F16)</f>
        <v>41671.381276523367</v>
      </c>
      <c r="K23" s="143">
        <f>H23-J23</f>
        <v>0</v>
      </c>
    </row>
    <row r="24" spans="1:11" hidden="1" x14ac:dyDescent="0.25">
      <c r="A24" s="5"/>
      <c r="B24" s="484"/>
      <c r="G24" s="46" t="s">
        <v>313</v>
      </c>
      <c r="H24" s="6">
        <f>SUM('Table 3.20-CFS Non-CIOSS'!H19,'Table 3.20-CFS Non-CIOSS'!H76)</f>
        <v>13349.667556655269</v>
      </c>
      <c r="J24" s="6">
        <f>SUM(F11,F17)</f>
        <v>13349.667556655269</v>
      </c>
      <c r="K24" s="143">
        <f>H24-J24</f>
        <v>0</v>
      </c>
    </row>
    <row r="25" spans="1:11" hidden="1" x14ac:dyDescent="0.25">
      <c r="A25" s="5"/>
      <c r="B25" s="484"/>
      <c r="G25" s="46" t="s">
        <v>314</v>
      </c>
      <c r="H25" s="6">
        <f>SUM(H22:H24)</f>
        <v>133586.55920081193</v>
      </c>
      <c r="J25" s="6">
        <f>SUM(J22:J24)</f>
        <v>133586.55920081193</v>
      </c>
      <c r="K25" s="143">
        <f>H25-J25</f>
        <v>0</v>
      </c>
    </row>
    <row r="26" spans="1:11" x14ac:dyDescent="0.25">
      <c r="A26" s="283"/>
      <c r="B26" s="283"/>
      <c r="C26" s="283"/>
      <c r="D26" s="283"/>
      <c r="E26" s="283"/>
      <c r="F26" s="283"/>
      <c r="H26" s="240"/>
    </row>
    <row r="27" spans="1:11" x14ac:dyDescent="0.25">
      <c r="A27" s="284" t="s">
        <v>235</v>
      </c>
    </row>
    <row r="28" spans="1:11" x14ac:dyDescent="0.25">
      <c r="A28" s="241" t="s">
        <v>83</v>
      </c>
      <c r="D28" s="12"/>
      <c r="E28" s="241" t="s">
        <v>600</v>
      </c>
    </row>
    <row r="29" spans="1:11" x14ac:dyDescent="0.25">
      <c r="A29" s="241" t="s">
        <v>84</v>
      </c>
      <c r="D29" s="12"/>
      <c r="E29" s="241" t="s">
        <v>86</v>
      </c>
    </row>
    <row r="30" spans="1:11" x14ac:dyDescent="0.25">
      <c r="A30" s="241" t="s">
        <v>35</v>
      </c>
      <c r="D30" s="12"/>
      <c r="E30" s="241" t="s">
        <v>601</v>
      </c>
    </row>
    <row r="31" spans="1:11" x14ac:dyDescent="0.25">
      <c r="A31" s="241" t="s">
        <v>85</v>
      </c>
    </row>
  </sheetData>
  <phoneticPr fontId="5"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4"/>
  <dimension ref="A1:T86"/>
  <sheetViews>
    <sheetView zoomScale="70" zoomScaleNormal="70" workbookViewId="0"/>
  </sheetViews>
  <sheetFormatPr defaultColWidth="9.109375" defaultRowHeight="13.2" x14ac:dyDescent="0.25"/>
  <cols>
    <col min="1" max="1" width="42.44140625" style="11" customWidth="1"/>
    <col min="2" max="2" width="8.88671875" style="38" customWidth="1"/>
    <col min="3" max="3" width="3.44140625" style="38" customWidth="1"/>
    <col min="4" max="4" width="10.6640625" style="11" customWidth="1"/>
    <col min="5" max="5" width="3.44140625" style="11" customWidth="1"/>
    <col min="6" max="6" width="9.88671875" style="11" customWidth="1"/>
    <col min="7" max="7" width="3.44140625" style="11" customWidth="1"/>
    <col min="8" max="8" width="10.6640625" style="11" customWidth="1"/>
    <col min="9" max="9" width="3.44140625" style="11" customWidth="1"/>
    <col min="10" max="10" width="10.6640625" style="11" customWidth="1"/>
    <col min="11" max="11" width="3.44140625" style="11" customWidth="1"/>
    <col min="12" max="12" width="11.6640625" style="11" customWidth="1"/>
    <col min="13" max="13" width="3.44140625" style="11" customWidth="1"/>
    <col min="14" max="14" width="8.6640625" style="11" customWidth="1"/>
    <col min="15" max="15" width="3.44140625" style="11" customWidth="1"/>
    <col min="16" max="16" width="14.5546875" style="11" customWidth="1"/>
    <col min="17" max="17" width="10.5546875" style="11" bestFit="1" customWidth="1"/>
    <col min="18" max="18" width="12" style="11" customWidth="1"/>
    <col min="19" max="16384" width="9.109375" style="11"/>
  </cols>
  <sheetData>
    <row r="1" spans="1:18" ht="15.6" x14ac:dyDescent="0.3">
      <c r="A1" s="158" t="s">
        <v>554</v>
      </c>
    </row>
    <row r="2" spans="1:18" ht="15.6" x14ac:dyDescent="0.3">
      <c r="A2" s="158" t="s">
        <v>787</v>
      </c>
    </row>
    <row r="3" spans="1:18" ht="5.0999999999999996" customHeight="1" x14ac:dyDescent="0.3">
      <c r="A3" s="454"/>
    </row>
    <row r="4" spans="1:18" ht="15.6" x14ac:dyDescent="0.3">
      <c r="A4" s="158" t="s">
        <v>746</v>
      </c>
      <c r="B4" s="45"/>
      <c r="C4" s="45"/>
    </row>
    <row r="5" spans="1:18" ht="26.4" x14ac:dyDescent="0.25">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8" x14ac:dyDescent="0.25">
      <c r="A6" s="89" t="s">
        <v>747</v>
      </c>
      <c r="B6" s="574">
        <v>0</v>
      </c>
      <c r="C6" s="571" t="s">
        <v>238</v>
      </c>
      <c r="D6" s="54">
        <v>2.5777203592126572</v>
      </c>
      <c r="E6" s="54"/>
      <c r="F6" s="180">
        <f>B6*D6</f>
        <v>0</v>
      </c>
      <c r="G6" s="180"/>
      <c r="H6" s="458">
        <f>'Table 3.38-Form 3547 Dist'!H8</f>
        <v>39327.03121446701</v>
      </c>
      <c r="I6" s="575" t="s">
        <v>241</v>
      </c>
      <c r="J6" s="576">
        <f>H6/$H$6</f>
        <v>1</v>
      </c>
      <c r="K6" s="576"/>
      <c r="L6" s="180">
        <f>J6*F6</f>
        <v>0</v>
      </c>
      <c r="M6" s="342"/>
      <c r="N6" s="342"/>
      <c r="O6" s="342"/>
      <c r="P6" s="342"/>
    </row>
    <row r="7" spans="1:18" x14ac:dyDescent="0.25">
      <c r="A7" s="21" t="s">
        <v>142</v>
      </c>
      <c r="B7" s="574">
        <f>'Table 3.40-Form Processing'!B5</f>
        <v>4.9442335611897453E-2</v>
      </c>
      <c r="C7" s="571" t="s">
        <v>239</v>
      </c>
      <c r="D7" s="54">
        <v>1.6624309879114112</v>
      </c>
      <c r="E7" s="54"/>
      <c r="F7" s="180">
        <f>B7*D7</f>
        <v>8.219447083593423E-2</v>
      </c>
      <c r="G7" s="180"/>
      <c r="H7" s="458">
        <f>H6</f>
        <v>39327.03121446701</v>
      </c>
      <c r="I7" s="575" t="s">
        <v>242</v>
      </c>
      <c r="J7" s="576">
        <f>H7/$H$6</f>
        <v>1</v>
      </c>
      <c r="K7" s="571"/>
      <c r="L7" s="180">
        <f>J7*F7</f>
        <v>8.219447083593423E-2</v>
      </c>
      <c r="M7" s="342"/>
      <c r="N7" s="342"/>
      <c r="O7" s="342"/>
      <c r="P7" s="342"/>
      <c r="R7" s="63"/>
    </row>
    <row r="8" spans="1:18" x14ac:dyDescent="0.25">
      <c r="A8" s="21" t="s">
        <v>143</v>
      </c>
      <c r="B8" s="574">
        <v>0.19926152810681208</v>
      </c>
      <c r="C8" s="571" t="s">
        <v>240</v>
      </c>
      <c r="D8" s="54">
        <v>3.8567835924021443</v>
      </c>
      <c r="E8" s="54"/>
      <c r="F8" s="180">
        <f>B8*D8</f>
        <v>0.76850859219933154</v>
      </c>
      <c r="G8" s="180"/>
      <c r="H8" s="458">
        <f>H7</f>
        <v>39327.03121446701</v>
      </c>
      <c r="I8" s="575"/>
      <c r="J8" s="576">
        <f>H8/$H$6</f>
        <v>1</v>
      </c>
      <c r="K8" s="576"/>
      <c r="L8" s="180">
        <f>J8*F8</f>
        <v>0.76850859219933154</v>
      </c>
      <c r="M8" s="342"/>
      <c r="N8" s="342"/>
      <c r="O8" s="342"/>
      <c r="P8" s="342"/>
    </row>
    <row r="9" spans="1:18" x14ac:dyDescent="0.25">
      <c r="A9" s="21" t="s">
        <v>144</v>
      </c>
      <c r="B9" s="574">
        <v>2.3153165998123365E-2</v>
      </c>
      <c r="C9" s="571" t="s">
        <v>240</v>
      </c>
      <c r="D9" s="54">
        <v>1.302844966601308</v>
      </c>
      <c r="E9" s="54"/>
      <c r="F9" s="180">
        <f>B9*D9</f>
        <v>3.0164985781539574E-2</v>
      </c>
      <c r="G9" s="180"/>
      <c r="H9" s="458">
        <f>H8</f>
        <v>39327.03121446701</v>
      </c>
      <c r="I9" s="575"/>
      <c r="J9" s="576">
        <f>H9/$H$6</f>
        <v>1</v>
      </c>
      <c r="K9" s="576"/>
      <c r="L9" s="180">
        <f>J9*F9</f>
        <v>3.0164985781539574E-2</v>
      </c>
      <c r="M9" s="342"/>
      <c r="N9" s="342"/>
      <c r="O9" s="342"/>
      <c r="P9" s="342"/>
    </row>
    <row r="10" spans="1:18" x14ac:dyDescent="0.25">
      <c r="A10" s="25" t="s">
        <v>146</v>
      </c>
      <c r="B10" s="488"/>
      <c r="C10" s="488"/>
      <c r="D10" s="342"/>
      <c r="E10" s="342"/>
      <c r="F10" s="488"/>
      <c r="G10" s="488"/>
      <c r="H10" s="577"/>
      <c r="I10" s="488"/>
      <c r="J10" s="576"/>
      <c r="K10" s="576"/>
      <c r="L10" s="180">
        <f>SUM(L6:L9)</f>
        <v>0.88086804881680536</v>
      </c>
      <c r="M10" s="342"/>
      <c r="N10" s="203">
        <f>'Table 3.38-Form 3547 Dist'!I8</f>
        <v>0.7133559665496122</v>
      </c>
      <c r="O10" s="575" t="s">
        <v>241</v>
      </c>
      <c r="P10" s="180">
        <f>N10*L10</f>
        <v>0.62837247836638321</v>
      </c>
      <c r="Q10" s="53"/>
    </row>
    <row r="11" spans="1:18" x14ac:dyDescent="0.25">
      <c r="B11" s="574"/>
      <c r="C11" s="574"/>
      <c r="D11" s="342"/>
      <c r="E11" s="342"/>
      <c r="F11" s="180"/>
      <c r="G11" s="180"/>
      <c r="H11" s="578"/>
      <c r="I11" s="180"/>
      <c r="J11" s="342"/>
      <c r="K11" s="342"/>
      <c r="L11" s="342"/>
      <c r="M11" s="342"/>
      <c r="N11" s="203"/>
      <c r="O11" s="203"/>
      <c r="P11" s="342"/>
    </row>
    <row r="12" spans="1:18" x14ac:dyDescent="0.25">
      <c r="A12" s="15" t="s">
        <v>340</v>
      </c>
      <c r="B12" s="574"/>
      <c r="C12" s="574"/>
      <c r="D12" s="342"/>
      <c r="E12" s="342"/>
      <c r="F12" s="180"/>
      <c r="G12" s="180"/>
      <c r="H12" s="578"/>
      <c r="I12" s="180"/>
      <c r="J12" s="342"/>
      <c r="K12" s="342"/>
      <c r="L12" s="342"/>
      <c r="M12" s="342"/>
      <c r="N12" s="342"/>
      <c r="O12" s="342"/>
      <c r="P12" s="342"/>
    </row>
    <row r="13" spans="1:18" x14ac:dyDescent="0.25">
      <c r="A13" s="89" t="s">
        <v>747</v>
      </c>
      <c r="B13" s="574">
        <v>0</v>
      </c>
      <c r="C13" s="571" t="s">
        <v>238</v>
      </c>
      <c r="D13" s="54">
        <v>2.5777203592126572</v>
      </c>
      <c r="E13" s="54"/>
      <c r="F13" s="180">
        <f>B13*D13</f>
        <v>0</v>
      </c>
      <c r="G13" s="180"/>
      <c r="H13" s="458">
        <f>'Table 3.38-Form 3547 Dist'!H9</f>
        <v>3088.4761158075648</v>
      </c>
      <c r="I13" s="575" t="s">
        <v>241</v>
      </c>
      <c r="J13" s="576">
        <f>H13/$H$13</f>
        <v>1</v>
      </c>
      <c r="K13" s="576"/>
      <c r="L13" s="180">
        <f>J13*F13</f>
        <v>0</v>
      </c>
      <c r="M13" s="342"/>
      <c r="N13" s="342"/>
      <c r="O13" s="342"/>
      <c r="P13" s="342"/>
    </row>
    <row r="14" spans="1:18" x14ac:dyDescent="0.25">
      <c r="A14" s="21" t="s">
        <v>142</v>
      </c>
      <c r="B14" s="574">
        <f>'Table 3.40-Form Processing'!B5</f>
        <v>4.9442335611897453E-2</v>
      </c>
      <c r="C14" s="571" t="s">
        <v>239</v>
      </c>
      <c r="D14" s="54">
        <v>1.6624309879114112</v>
      </c>
      <c r="E14" s="54"/>
      <c r="F14" s="180">
        <f>B14*D14</f>
        <v>8.219447083593423E-2</v>
      </c>
      <c r="G14" s="180"/>
      <c r="H14" s="458">
        <f>H13</f>
        <v>3088.4761158075648</v>
      </c>
      <c r="I14" s="575" t="s">
        <v>242</v>
      </c>
      <c r="J14" s="576">
        <f>H14/$H$13</f>
        <v>1</v>
      </c>
      <c r="K14" s="571"/>
      <c r="L14" s="180">
        <f>J14*F14</f>
        <v>8.219447083593423E-2</v>
      </c>
      <c r="M14" s="342"/>
      <c r="N14" s="342"/>
      <c r="O14" s="342"/>
      <c r="P14" s="342"/>
      <c r="R14" s="63"/>
    </row>
    <row r="15" spans="1:18" ht="12.75" customHeight="1" x14ac:dyDescent="0.25">
      <c r="A15" s="21" t="s">
        <v>143</v>
      </c>
      <c r="B15" s="574">
        <v>0.19926152810681208</v>
      </c>
      <c r="C15" s="571" t="s">
        <v>240</v>
      </c>
      <c r="D15" s="54">
        <v>3.8567835924021443</v>
      </c>
      <c r="E15" s="54"/>
      <c r="F15" s="180">
        <f>B15*D15</f>
        <v>0.76850859219933154</v>
      </c>
      <c r="G15" s="180"/>
      <c r="H15" s="458">
        <f>H14</f>
        <v>3088.4761158075648</v>
      </c>
      <c r="I15" s="575"/>
      <c r="J15" s="576">
        <f>H15/$H$13</f>
        <v>1</v>
      </c>
      <c r="K15" s="576"/>
      <c r="L15" s="180">
        <f>J15*F15</f>
        <v>0.76850859219933154</v>
      </c>
      <c r="M15" s="342"/>
      <c r="N15" s="342"/>
      <c r="O15" s="342"/>
      <c r="P15" s="342"/>
    </row>
    <row r="16" spans="1:18" x14ac:dyDescent="0.25">
      <c r="A16" s="21" t="s">
        <v>144</v>
      </c>
      <c r="B16" s="574">
        <v>2.3153165998123365E-2</v>
      </c>
      <c r="C16" s="571" t="s">
        <v>240</v>
      </c>
      <c r="D16" s="54">
        <v>1.302844966601308</v>
      </c>
      <c r="E16" s="54"/>
      <c r="F16" s="180">
        <f>B16*D16</f>
        <v>3.0164985781539574E-2</v>
      </c>
      <c r="G16" s="180"/>
      <c r="H16" s="458">
        <f>H15</f>
        <v>3088.4761158075648</v>
      </c>
      <c r="I16" s="575"/>
      <c r="J16" s="576">
        <f>H16/$H$13</f>
        <v>1</v>
      </c>
      <c r="K16" s="576"/>
      <c r="L16" s="180">
        <f>J16*F16</f>
        <v>3.0164985781539574E-2</v>
      </c>
      <c r="M16" s="342"/>
      <c r="N16" s="342"/>
      <c r="O16" s="342"/>
      <c r="P16" s="342"/>
    </row>
    <row r="17" spans="1:18" x14ac:dyDescent="0.25">
      <c r="A17" s="24" t="s">
        <v>145</v>
      </c>
      <c r="B17" s="488"/>
      <c r="C17" s="488"/>
      <c r="D17" s="342"/>
      <c r="E17" s="342"/>
      <c r="F17" s="488"/>
      <c r="G17" s="488"/>
      <c r="H17" s="577"/>
      <c r="I17" s="488"/>
      <c r="J17" s="342"/>
      <c r="K17" s="342"/>
      <c r="L17" s="180">
        <f>SUM(L13:L16)</f>
        <v>0.88086804881680536</v>
      </c>
      <c r="M17" s="342"/>
      <c r="N17" s="203">
        <f>'Table 3.38-Form 3547 Dist'!I9</f>
        <v>5.6022099729379653E-2</v>
      </c>
      <c r="O17" s="575" t="s">
        <v>241</v>
      </c>
      <c r="P17" s="180">
        <f>N17*L17</f>
        <v>4.9348077679239134E-2</v>
      </c>
      <c r="Q17" s="53"/>
    </row>
    <row r="18" spans="1:18" x14ac:dyDescent="0.25">
      <c r="A18" s="24"/>
      <c r="B18" s="488"/>
      <c r="C18" s="488"/>
      <c r="D18" s="342"/>
      <c r="E18" s="342"/>
      <c r="F18" s="488"/>
      <c r="G18" s="488"/>
      <c r="H18" s="577"/>
      <c r="I18" s="488"/>
      <c r="J18" s="342"/>
      <c r="K18" s="342"/>
      <c r="L18" s="180"/>
      <c r="M18" s="342"/>
      <c r="N18" s="203"/>
      <c r="O18" s="575"/>
      <c r="P18" s="180"/>
    </row>
    <row r="19" spans="1:18" x14ac:dyDescent="0.25">
      <c r="A19" s="15" t="s">
        <v>341</v>
      </c>
      <c r="B19" s="488"/>
      <c r="C19" s="488"/>
      <c r="D19" s="342"/>
      <c r="E19" s="342"/>
      <c r="F19" s="180">
        <v>0</v>
      </c>
      <c r="G19" s="488"/>
      <c r="H19" s="579">
        <f>'Table 3.38-Form 3547 Dist'!H7</f>
        <v>12714.095642958437</v>
      </c>
      <c r="I19" s="575" t="s">
        <v>241</v>
      </c>
      <c r="J19" s="576">
        <f>H19/$H$19</f>
        <v>1</v>
      </c>
      <c r="K19" s="342"/>
      <c r="L19" s="180">
        <v>0</v>
      </c>
      <c r="M19" s="342"/>
      <c r="N19" s="203">
        <f>'Table 3.38-Form 3547 Dist'!I7</f>
        <v>0.23062193372100812</v>
      </c>
      <c r="O19" s="575" t="s">
        <v>241</v>
      </c>
      <c r="P19" s="180">
        <f>N19*L19</f>
        <v>0</v>
      </c>
      <c r="Q19" s="86"/>
    </row>
    <row r="20" spans="1:18" x14ac:dyDescent="0.25">
      <c r="A20" s="48"/>
      <c r="B20" s="574"/>
      <c r="C20" s="574"/>
      <c r="D20" s="342"/>
      <c r="E20" s="342"/>
      <c r="F20" s="180"/>
      <c r="G20" s="180"/>
      <c r="H20" s="180"/>
      <c r="I20" s="180"/>
      <c r="J20" s="580"/>
      <c r="K20" s="580"/>
      <c r="L20" s="342"/>
      <c r="M20" s="342"/>
      <c r="N20" s="342"/>
      <c r="O20" s="342"/>
      <c r="P20" s="342"/>
    </row>
    <row r="21" spans="1:18" x14ac:dyDescent="0.25">
      <c r="B21" s="574"/>
      <c r="C21" s="574"/>
      <c r="D21" s="342"/>
      <c r="E21" s="342"/>
      <c r="F21" s="180"/>
      <c r="G21" s="180"/>
      <c r="H21" s="180"/>
      <c r="I21" s="180"/>
      <c r="J21" s="342"/>
      <c r="K21" s="342"/>
      <c r="L21" s="342"/>
      <c r="M21" s="342"/>
      <c r="N21" s="342"/>
      <c r="O21" s="581" t="s">
        <v>453</v>
      </c>
      <c r="P21" s="553">
        <f>P17+P10+P19</f>
        <v>0.67772055604562231</v>
      </c>
      <c r="Q21" s="63"/>
      <c r="R21" s="63"/>
    </row>
    <row r="22" spans="1:18" x14ac:dyDescent="0.25">
      <c r="A22" s="15"/>
      <c r="B22" s="574"/>
      <c r="C22" s="574"/>
      <c r="D22" s="342"/>
      <c r="E22" s="342"/>
      <c r="F22" s="180"/>
      <c r="G22" s="180"/>
      <c r="H22" s="180"/>
      <c r="I22" s="180"/>
      <c r="J22" s="342"/>
      <c r="K22" s="342"/>
      <c r="L22" s="342"/>
      <c r="M22" s="342"/>
      <c r="N22" s="342"/>
      <c r="O22" s="342"/>
      <c r="P22" s="180"/>
      <c r="Q22" s="63"/>
    </row>
    <row r="23" spans="1:18" ht="15.6" x14ac:dyDescent="0.3">
      <c r="A23" s="158" t="s">
        <v>759</v>
      </c>
      <c r="B23" s="574"/>
      <c r="C23" s="574"/>
      <c r="D23" s="342"/>
      <c r="E23" s="342"/>
      <c r="F23" s="180"/>
      <c r="G23" s="180"/>
      <c r="H23" s="180"/>
      <c r="I23" s="180"/>
      <c r="J23" s="342"/>
      <c r="K23" s="342"/>
      <c r="L23" s="342"/>
      <c r="M23" s="342"/>
      <c r="N23" s="342"/>
      <c r="O23" s="342"/>
      <c r="P23" s="180"/>
      <c r="Q23" s="63"/>
    </row>
    <row r="24" spans="1:18" ht="15.6" x14ac:dyDescent="0.3">
      <c r="A24" s="158" t="s">
        <v>787</v>
      </c>
      <c r="B24" s="574"/>
      <c r="C24" s="574"/>
      <c r="D24" s="342"/>
      <c r="E24" s="342"/>
      <c r="F24" s="180"/>
      <c r="G24" s="140"/>
      <c r="H24" s="140"/>
      <c r="I24" s="180"/>
      <c r="J24" s="342"/>
      <c r="K24" s="342"/>
      <c r="L24" s="342"/>
      <c r="M24" s="342"/>
      <c r="N24" s="342"/>
      <c r="O24" s="342"/>
      <c r="P24" s="180"/>
      <c r="Q24" s="63"/>
    </row>
    <row r="25" spans="1:18" ht="5.0999999999999996" customHeight="1" x14ac:dyDescent="0.25">
      <c r="A25" s="15"/>
      <c r="B25" s="574"/>
      <c r="C25" s="574"/>
      <c r="D25" s="342"/>
      <c r="E25" s="342"/>
      <c r="F25" s="180"/>
      <c r="G25" s="180"/>
      <c r="H25" s="180"/>
      <c r="I25" s="180"/>
      <c r="J25" s="342"/>
      <c r="K25" s="342"/>
      <c r="L25" s="342"/>
      <c r="M25" s="342"/>
      <c r="N25" s="342"/>
      <c r="O25" s="342"/>
      <c r="P25" s="180"/>
      <c r="Q25" s="63"/>
    </row>
    <row r="26" spans="1:18" ht="15.6" x14ac:dyDescent="0.3">
      <c r="A26" s="158" t="s">
        <v>748</v>
      </c>
      <c r="B26" s="582"/>
      <c r="C26" s="582"/>
      <c r="D26" s="140"/>
      <c r="E26" s="140"/>
      <c r="F26" s="140"/>
      <c r="G26" s="140"/>
      <c r="H26" s="140"/>
      <c r="I26" s="140"/>
      <c r="J26" s="140"/>
      <c r="K26" s="140"/>
      <c r="L26" s="140"/>
      <c r="M26" s="140"/>
      <c r="N26" s="140"/>
      <c r="O26" s="140"/>
      <c r="P26" s="140"/>
      <c r="Q26" s="63"/>
    </row>
    <row r="27" spans="1:18" ht="26.4" x14ac:dyDescent="0.25">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x14ac:dyDescent="0.25">
      <c r="A28" s="89" t="s">
        <v>141</v>
      </c>
      <c r="B28" s="574">
        <v>9.8027512872152514E-2</v>
      </c>
      <c r="C28" s="571" t="s">
        <v>243</v>
      </c>
      <c r="D28" s="54">
        <v>1.6624309879114112</v>
      </c>
      <c r="E28" s="54"/>
      <c r="F28" s="180">
        <f>B28*D28</f>
        <v>0.16296397506655108</v>
      </c>
      <c r="G28" s="180"/>
      <c r="H28" s="458">
        <f>'Table 3.38-Form 3547 Dist'!B17</f>
        <v>3795.3308047990386</v>
      </c>
      <c r="I28" s="575" t="s">
        <v>241</v>
      </c>
      <c r="J28" s="576">
        <f>H28/SUM($H$28:$H$29)</f>
        <v>0.91663275255374144</v>
      </c>
      <c r="K28" s="576"/>
      <c r="L28" s="180">
        <f>J28*F28</f>
        <v>0.14937811703235201</v>
      </c>
      <c r="M28" s="342"/>
      <c r="N28" s="342"/>
      <c r="O28" s="342"/>
      <c r="P28" s="342"/>
      <c r="Q28" s="63"/>
      <c r="R28" s="63"/>
    </row>
    <row r="29" spans="1:18" x14ac:dyDescent="0.25">
      <c r="A29" s="21" t="s">
        <v>749</v>
      </c>
      <c r="B29" s="574">
        <v>0.12777506640755584</v>
      </c>
      <c r="C29" s="575" t="s">
        <v>244</v>
      </c>
      <c r="D29" s="54">
        <v>1.5249384833271007</v>
      </c>
      <c r="E29" s="54"/>
      <c r="F29" s="180">
        <f>B29*D29</f>
        <v>0.19484911597455778</v>
      </c>
      <c r="G29" s="180"/>
      <c r="H29" s="458">
        <f>'Table 3.38-Form 3547 Dist'!E17</f>
        <v>345.1832606489134</v>
      </c>
      <c r="I29" s="575" t="s">
        <v>241</v>
      </c>
      <c r="J29" s="576">
        <f>H29/SUM($H$28:$H$29)</f>
        <v>8.3367247446258563E-2</v>
      </c>
      <c r="K29" s="576"/>
      <c r="L29" s="180">
        <f>J29*F29</f>
        <v>1.624403446613569E-2</v>
      </c>
      <c r="M29" s="342"/>
      <c r="N29" s="342"/>
      <c r="O29" s="342"/>
      <c r="P29" s="342"/>
      <c r="Q29" s="63"/>
      <c r="R29" s="63"/>
    </row>
    <row r="30" spans="1:18" x14ac:dyDescent="0.25">
      <c r="A30" s="89" t="s">
        <v>750</v>
      </c>
      <c r="B30" s="574">
        <f>'Table 3.40-Form Processing'!B4</f>
        <v>7.1303285375288766E-2</v>
      </c>
      <c r="C30" s="571" t="s">
        <v>239</v>
      </c>
      <c r="D30" s="54">
        <v>1.6624309879114112</v>
      </c>
      <c r="E30" s="54"/>
      <c r="F30" s="180">
        <f>B30*D30</f>
        <v>0.11853679114777058</v>
      </c>
      <c r="G30" s="180"/>
      <c r="H30" s="458">
        <f>SUM(H28:H29)/'Table 3.40-Form Processing'!$D$4</f>
        <v>3996.6047749724517</v>
      </c>
      <c r="I30" s="575" t="s">
        <v>582</v>
      </c>
      <c r="J30" s="576">
        <f>'Table 3.40-Form Processing'!D4^-1</f>
        <v>0.96524361753135812</v>
      </c>
      <c r="K30" s="571" t="s">
        <v>239</v>
      </c>
      <c r="L30" s="180">
        <f>J30*F30</f>
        <v>0.11441688109803314</v>
      </c>
      <c r="M30" s="342"/>
      <c r="N30" s="342"/>
      <c r="O30" s="342"/>
      <c r="P30" s="342"/>
      <c r="Q30" s="572"/>
      <c r="R30" s="63"/>
    </row>
    <row r="31" spans="1:18" x14ac:dyDescent="0.25">
      <c r="A31" s="89" t="s">
        <v>751</v>
      </c>
      <c r="B31" s="574">
        <v>0.40027795591930271</v>
      </c>
      <c r="C31" s="571" t="s">
        <v>240</v>
      </c>
      <c r="D31" s="54">
        <v>3.8567835924021443</v>
      </c>
      <c r="E31" s="54"/>
      <c r="F31" s="180">
        <f>B31*D31</f>
        <v>1.5437854527898354</v>
      </c>
      <c r="G31" s="180"/>
      <c r="H31" s="458">
        <f>H30</f>
        <v>3996.6047749724517</v>
      </c>
      <c r="I31" s="575"/>
      <c r="J31" s="576">
        <f>J30</f>
        <v>0.96524361753135812</v>
      </c>
      <c r="K31" s="576"/>
      <c r="L31" s="180">
        <f>J31*F31</f>
        <v>1.4901290551431463</v>
      </c>
      <c r="M31" s="342"/>
      <c r="N31" s="342"/>
      <c r="O31" s="342"/>
      <c r="P31" s="342"/>
      <c r="Q31" s="63"/>
      <c r="R31" s="63"/>
    </row>
    <row r="32" spans="1:18" x14ac:dyDescent="0.25">
      <c r="A32" s="89" t="s">
        <v>752</v>
      </c>
      <c r="B32" s="574">
        <v>2.3153165998123365E-2</v>
      </c>
      <c r="C32" s="571" t="s">
        <v>240</v>
      </c>
      <c r="D32" s="54">
        <v>1.302844966601308</v>
      </c>
      <c r="E32" s="54"/>
      <c r="F32" s="180">
        <f>B32*D32</f>
        <v>3.0164985781539574E-2</v>
      </c>
      <c r="G32" s="180"/>
      <c r="H32" s="458">
        <f>H31</f>
        <v>3996.6047749724517</v>
      </c>
      <c r="I32" s="575"/>
      <c r="J32" s="576">
        <f>J31</f>
        <v>0.96524361753135812</v>
      </c>
      <c r="K32" s="576"/>
      <c r="L32" s="180">
        <f>J32*F32</f>
        <v>2.9116559998555242E-2</v>
      </c>
      <c r="M32" s="342"/>
      <c r="N32" s="342"/>
      <c r="O32" s="342"/>
      <c r="P32" s="342"/>
      <c r="Q32" s="63"/>
      <c r="R32" s="63"/>
    </row>
    <row r="33" spans="1:20" x14ac:dyDescent="0.25">
      <c r="A33" s="25" t="s">
        <v>146</v>
      </c>
      <c r="B33" s="488"/>
      <c r="C33" s="488"/>
      <c r="D33" s="342"/>
      <c r="E33" s="342"/>
      <c r="F33" s="488"/>
      <c r="G33" s="488"/>
      <c r="H33" s="488"/>
      <c r="I33" s="488"/>
      <c r="J33" s="576"/>
      <c r="K33" s="576"/>
      <c r="L33" s="180">
        <f>SUM(L28:L32)</f>
        <v>1.7992846477382223</v>
      </c>
      <c r="M33" s="342"/>
      <c r="N33" s="203">
        <f>'Table 3.38-Form 3547 Dist'!I17</f>
        <v>0.55300849431480259</v>
      </c>
      <c r="O33" s="575" t="s">
        <v>241</v>
      </c>
      <c r="P33" s="180">
        <f>N33*L33</f>
        <v>0.99501969388945433</v>
      </c>
      <c r="Q33" s="63"/>
    </row>
    <row r="34" spans="1:20" x14ac:dyDescent="0.25">
      <c r="B34" s="574"/>
      <c r="C34" s="574"/>
      <c r="D34" s="342"/>
      <c r="E34" s="342"/>
      <c r="F34" s="180"/>
      <c r="G34" s="180"/>
      <c r="H34" s="180"/>
      <c r="I34" s="180"/>
      <c r="J34" s="342"/>
      <c r="K34" s="342"/>
      <c r="L34" s="342"/>
      <c r="M34" s="342"/>
      <c r="N34" s="203"/>
      <c r="O34" s="203"/>
      <c r="P34" s="342"/>
      <c r="Q34" s="63"/>
    </row>
    <row r="35" spans="1:20" x14ac:dyDescent="0.25">
      <c r="A35" s="15" t="s">
        <v>340</v>
      </c>
      <c r="B35" s="574"/>
      <c r="C35" s="574"/>
      <c r="D35" s="342"/>
      <c r="E35" s="342"/>
      <c r="F35" s="180"/>
      <c r="G35" s="180"/>
      <c r="H35" s="180"/>
      <c r="I35" s="180"/>
      <c r="J35" s="342"/>
      <c r="K35" s="342"/>
      <c r="L35" s="342"/>
      <c r="M35" s="342"/>
      <c r="N35" s="342"/>
      <c r="O35" s="342"/>
      <c r="P35" s="342"/>
      <c r="Q35" s="63"/>
    </row>
    <row r="36" spans="1:20" x14ac:dyDescent="0.25">
      <c r="A36" s="89" t="s">
        <v>141</v>
      </c>
      <c r="B36" s="574">
        <v>9.8027512872152514E-2</v>
      </c>
      <c r="C36" s="571" t="s">
        <v>243</v>
      </c>
      <c r="D36" s="54">
        <v>1.6624309879114112</v>
      </c>
      <c r="E36" s="54"/>
      <c r="F36" s="180">
        <f>B36*D36</f>
        <v>0.16296397506655108</v>
      </c>
      <c r="G36" s="180"/>
      <c r="H36" s="458">
        <f>'Table 3.38-Form 3547 Dist'!B18</f>
        <v>2106.3780967298617</v>
      </c>
      <c r="I36" s="575" t="s">
        <v>241</v>
      </c>
      <c r="J36" s="576">
        <f>H36/SUM($H$36:$H$37)</f>
        <v>0.91663275255374144</v>
      </c>
      <c r="K36" s="576"/>
      <c r="L36" s="180">
        <f>J36*F36</f>
        <v>0.14937811703235201</v>
      </c>
      <c r="M36" s="342"/>
      <c r="N36" s="342"/>
      <c r="O36" s="342"/>
      <c r="P36" s="342"/>
      <c r="Q36" s="63"/>
      <c r="R36" s="63"/>
    </row>
    <row r="37" spans="1:20" x14ac:dyDescent="0.25">
      <c r="A37" s="21" t="s">
        <v>749</v>
      </c>
      <c r="B37" s="574">
        <v>0.12777506640755584</v>
      </c>
      <c r="C37" s="575" t="s">
        <v>244</v>
      </c>
      <c r="D37" s="54">
        <v>1.5249384833271007</v>
      </c>
      <c r="E37" s="54"/>
      <c r="F37" s="180">
        <f>B37*D37</f>
        <v>0.19484911597455778</v>
      </c>
      <c r="G37" s="180"/>
      <c r="H37" s="458">
        <f>'Table 3.38-Form 3547 Dist'!E18</f>
        <v>191.57393570786905</v>
      </c>
      <c r="I37" s="575" t="s">
        <v>241</v>
      </c>
      <c r="J37" s="576">
        <f>H37/SUM($H$36:$H$37)</f>
        <v>8.3367247446258549E-2</v>
      </c>
      <c r="K37" s="576"/>
      <c r="L37" s="180">
        <f>J37*F37</f>
        <v>1.624403446613569E-2</v>
      </c>
      <c r="M37" s="342"/>
      <c r="N37" s="342"/>
      <c r="O37" s="342"/>
      <c r="P37" s="342"/>
      <c r="Q37" s="63"/>
      <c r="R37" s="63"/>
    </row>
    <row r="38" spans="1:20" x14ac:dyDescent="0.25">
      <c r="A38" s="89" t="s">
        <v>750</v>
      </c>
      <c r="B38" s="574">
        <f>'Table 3.40-Form Processing'!B4</f>
        <v>7.1303285375288766E-2</v>
      </c>
      <c r="C38" s="571" t="s">
        <v>239</v>
      </c>
      <c r="D38" s="54">
        <v>1.6624309879114112</v>
      </c>
      <c r="E38" s="54"/>
      <c r="F38" s="180">
        <f>B38*D38</f>
        <v>0.11853679114777058</v>
      </c>
      <c r="G38" s="180"/>
      <c r="H38" s="458">
        <f>SUM(H36:H37)/'Table 3.40-Form Processing'!$D$4</f>
        <v>2218.0835327037321</v>
      </c>
      <c r="I38" s="575" t="s">
        <v>582</v>
      </c>
      <c r="J38" s="576">
        <f>'Table 3.40-Form Processing'!D4^-1</f>
        <v>0.96524361753135812</v>
      </c>
      <c r="K38" s="571" t="s">
        <v>239</v>
      </c>
      <c r="L38" s="180">
        <f>J38*F38</f>
        <v>0.11441688109803314</v>
      </c>
      <c r="M38" s="342"/>
      <c r="N38" s="342"/>
      <c r="O38" s="342"/>
      <c r="P38" s="342"/>
      <c r="Q38" s="572"/>
      <c r="R38" s="63"/>
    </row>
    <row r="39" spans="1:20" x14ac:dyDescent="0.25">
      <c r="A39" s="89" t="s">
        <v>751</v>
      </c>
      <c r="B39" s="574">
        <v>0.40027795591930271</v>
      </c>
      <c r="C39" s="571" t="s">
        <v>240</v>
      </c>
      <c r="D39" s="54">
        <v>3.8567835924021443</v>
      </c>
      <c r="E39" s="54"/>
      <c r="F39" s="180">
        <f>B39*D39</f>
        <v>1.5437854527898354</v>
      </c>
      <c r="G39" s="180"/>
      <c r="H39" s="458">
        <f>H38</f>
        <v>2218.0835327037321</v>
      </c>
      <c r="I39" s="180"/>
      <c r="J39" s="576">
        <f>J38</f>
        <v>0.96524361753135812</v>
      </c>
      <c r="K39" s="576"/>
      <c r="L39" s="180">
        <f>J39*F39</f>
        <v>1.4901290551431463</v>
      </c>
      <c r="M39" s="342"/>
      <c r="N39" s="342"/>
      <c r="O39" s="342"/>
      <c r="P39" s="342"/>
      <c r="Q39" s="63"/>
      <c r="R39" s="63"/>
    </row>
    <row r="40" spans="1:20" x14ac:dyDescent="0.25">
      <c r="A40" s="89" t="s">
        <v>752</v>
      </c>
      <c r="B40" s="574">
        <v>2.3153165998123365E-2</v>
      </c>
      <c r="C40" s="571" t="s">
        <v>240</v>
      </c>
      <c r="D40" s="54">
        <v>1.302844966601308</v>
      </c>
      <c r="E40" s="54"/>
      <c r="F40" s="180">
        <f>B40*D40</f>
        <v>3.0164985781539574E-2</v>
      </c>
      <c r="G40" s="180"/>
      <c r="H40" s="458">
        <f>H39</f>
        <v>2218.0835327037321</v>
      </c>
      <c r="I40" s="180"/>
      <c r="J40" s="576">
        <f>J39</f>
        <v>0.96524361753135812</v>
      </c>
      <c r="K40" s="576"/>
      <c r="L40" s="180">
        <f>J40*F40</f>
        <v>2.9116559998555242E-2</v>
      </c>
      <c r="M40" s="342"/>
      <c r="N40" s="342"/>
      <c r="O40" s="342"/>
      <c r="P40" s="342"/>
      <c r="Q40" s="63"/>
      <c r="R40" s="63"/>
    </row>
    <row r="41" spans="1:20" x14ac:dyDescent="0.25">
      <c r="A41" s="24" t="s">
        <v>145</v>
      </c>
      <c r="B41" s="488"/>
      <c r="C41" s="488"/>
      <c r="D41" s="342"/>
      <c r="E41" s="342"/>
      <c r="F41" s="488"/>
      <c r="G41" s="488"/>
      <c r="H41" s="488"/>
      <c r="I41" s="488"/>
      <c r="J41" s="342"/>
      <c r="K41" s="342"/>
      <c r="L41" s="180">
        <f>SUM(L36:L40)</f>
        <v>1.7992846477382223</v>
      </c>
      <c r="M41" s="342"/>
      <c r="N41" s="203">
        <f>'Table 3.38-Form 3547 Dist'!I18</f>
        <v>0.30691527027297916</v>
      </c>
      <c r="O41" s="575" t="s">
        <v>241</v>
      </c>
      <c r="P41" s="180">
        <f>N41*L41</f>
        <v>0.55222793395859859</v>
      </c>
      <c r="Q41" s="63"/>
    </row>
    <row r="42" spans="1:20" x14ac:dyDescent="0.25">
      <c r="A42" s="24"/>
      <c r="B42" s="488"/>
      <c r="C42" s="488"/>
      <c r="D42" s="342"/>
      <c r="E42" s="342"/>
      <c r="F42" s="488"/>
      <c r="G42" s="488"/>
      <c r="H42" s="488"/>
      <c r="I42" s="488"/>
      <c r="J42" s="342"/>
      <c r="K42" s="342"/>
      <c r="L42" s="180"/>
      <c r="M42" s="342"/>
      <c r="N42" s="203"/>
      <c r="O42" s="575"/>
      <c r="P42" s="180"/>
    </row>
    <row r="43" spans="1:20" x14ac:dyDescent="0.25">
      <c r="A43" s="15" t="s">
        <v>341</v>
      </c>
      <c r="B43" s="488"/>
      <c r="C43" s="488"/>
      <c r="D43" s="342"/>
      <c r="E43" s="342"/>
      <c r="F43" s="180">
        <v>0</v>
      </c>
      <c r="G43" s="488"/>
      <c r="H43" s="587">
        <f>'Table 3.38-Form 3547 Dist'!H16</f>
        <v>1048.7861016997831</v>
      </c>
      <c r="I43" s="575" t="s">
        <v>241</v>
      </c>
      <c r="J43" s="576">
        <f>H43/$H$43</f>
        <v>1</v>
      </c>
      <c r="K43" s="342"/>
      <c r="L43" s="180">
        <v>0</v>
      </c>
      <c r="M43" s="342"/>
      <c r="N43" s="203">
        <f>'Table 3.38-Form 3547 Dist'!I16</f>
        <v>0.14007623541221831</v>
      </c>
      <c r="O43" s="575" t="s">
        <v>241</v>
      </c>
      <c r="P43" s="180">
        <f>N43*L43</f>
        <v>0</v>
      </c>
    </row>
    <row r="44" spans="1:20" x14ac:dyDescent="0.25">
      <c r="A44" s="48"/>
      <c r="B44" s="574"/>
      <c r="C44" s="574"/>
      <c r="D44" s="342"/>
      <c r="E44" s="342"/>
      <c r="F44" s="180"/>
      <c r="G44" s="180"/>
      <c r="H44" s="180"/>
      <c r="I44" s="180"/>
      <c r="J44" s="580"/>
      <c r="K44" s="580"/>
      <c r="L44" s="342"/>
      <c r="M44" s="342"/>
      <c r="N44" s="342"/>
      <c r="O44" s="342"/>
      <c r="P44" s="342"/>
    </row>
    <row r="45" spans="1:20" x14ac:dyDescent="0.25">
      <c r="B45" s="574"/>
      <c r="C45" s="574"/>
      <c r="D45" s="342"/>
      <c r="E45" s="342"/>
      <c r="F45" s="180"/>
      <c r="G45" s="180"/>
      <c r="H45" s="180"/>
      <c r="I45" s="180"/>
      <c r="J45" s="342"/>
      <c r="K45" s="342"/>
      <c r="L45" s="342"/>
      <c r="M45" s="342"/>
      <c r="N45" s="342"/>
      <c r="O45" s="581" t="s">
        <v>753</v>
      </c>
      <c r="P45" s="553">
        <f>P41+P33+P43</f>
        <v>1.5472476278480529</v>
      </c>
    </row>
    <row r="46" spans="1:20" x14ac:dyDescent="0.25">
      <c r="A46" s="21"/>
      <c r="B46" s="574"/>
      <c r="C46" s="571"/>
      <c r="D46" s="54"/>
      <c r="E46" s="54"/>
      <c r="F46" s="180"/>
      <c r="G46" s="180"/>
      <c r="H46" s="197"/>
      <c r="I46" s="180"/>
      <c r="J46" s="576"/>
      <c r="K46" s="576"/>
      <c r="L46" s="180"/>
      <c r="M46" s="342"/>
      <c r="N46" s="342"/>
      <c r="O46" s="342"/>
      <c r="P46" s="342"/>
    </row>
    <row r="47" spans="1:20" ht="15.6" x14ac:dyDescent="0.3">
      <c r="A47" s="158" t="s">
        <v>87</v>
      </c>
      <c r="B47" s="574"/>
      <c r="C47" s="574"/>
      <c r="D47" s="342"/>
      <c r="E47" s="342"/>
      <c r="F47" s="180"/>
      <c r="G47" s="180"/>
      <c r="H47" s="180"/>
      <c r="I47" s="180"/>
      <c r="J47" s="342"/>
      <c r="K47" s="342"/>
      <c r="L47" s="342"/>
      <c r="M47" s="342"/>
      <c r="N47" s="342"/>
      <c r="O47" s="342"/>
      <c r="P47" s="180"/>
    </row>
    <row r="48" spans="1:20" ht="15.6" x14ac:dyDescent="0.3">
      <c r="A48" s="158" t="s">
        <v>787</v>
      </c>
      <c r="B48" s="574"/>
      <c r="C48" s="574"/>
      <c r="D48" s="342"/>
      <c r="E48" s="342"/>
      <c r="F48" s="180"/>
      <c r="G48" s="180"/>
      <c r="H48" s="180"/>
      <c r="I48" s="180"/>
      <c r="J48" s="342"/>
      <c r="K48" s="342"/>
      <c r="L48" s="342"/>
      <c r="M48" s="342"/>
      <c r="N48" s="342"/>
      <c r="O48" s="342"/>
      <c r="P48" s="180"/>
      <c r="S48" s="180"/>
      <c r="T48" s="180"/>
    </row>
    <row r="49" spans="1:19" ht="5.0999999999999996" customHeight="1" x14ac:dyDescent="0.25">
      <c r="A49" s="15"/>
      <c r="B49" s="574"/>
      <c r="C49" s="574"/>
      <c r="D49" s="342"/>
      <c r="E49" s="342"/>
      <c r="F49" s="180"/>
      <c r="G49" s="180"/>
      <c r="H49" s="180"/>
      <c r="I49" s="180"/>
      <c r="J49" s="342"/>
      <c r="K49" s="342"/>
      <c r="L49" s="342"/>
      <c r="M49" s="342"/>
      <c r="N49" s="342"/>
      <c r="O49" s="342"/>
      <c r="P49" s="180"/>
    </row>
    <row r="50" spans="1:19" ht="15.6" x14ac:dyDescent="0.3">
      <c r="A50" s="158" t="s">
        <v>456</v>
      </c>
      <c r="B50" s="582"/>
      <c r="C50" s="582"/>
      <c r="D50" s="140"/>
      <c r="E50" s="140"/>
      <c r="F50" s="140"/>
      <c r="G50" s="140"/>
      <c r="H50" s="140"/>
      <c r="I50" s="140"/>
      <c r="J50" s="140"/>
      <c r="K50" s="140"/>
      <c r="L50" s="140"/>
      <c r="M50" s="140"/>
      <c r="N50" s="140"/>
      <c r="O50" s="140"/>
      <c r="P50" s="140"/>
    </row>
    <row r="51" spans="1:19" ht="26.4" x14ac:dyDescent="0.25">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9" x14ac:dyDescent="0.25">
      <c r="A52" s="89" t="s">
        <v>754</v>
      </c>
      <c r="B52" s="574">
        <f>(B6*H6+B28*H28)/H52</f>
        <v>8.6277008470754223E-3</v>
      </c>
      <c r="C52" s="571"/>
      <c r="D52" s="54"/>
      <c r="E52" s="54"/>
      <c r="F52" s="180">
        <f>(F6*H6+F28*H28)/H52</f>
        <v>1.4342957242607713E-2</v>
      </c>
      <c r="G52" s="180"/>
      <c r="H52" s="458">
        <f>SUM(H6,H28)</f>
        <v>43122.362019266046</v>
      </c>
      <c r="I52" s="575" t="s">
        <v>241</v>
      </c>
      <c r="J52" s="576">
        <f>H52/SUM($H$52:$H$53)</f>
        <v>0.99205882783520305</v>
      </c>
      <c r="K52" s="576"/>
      <c r="L52" s="180">
        <f>J52*F52</f>
        <v>1.4229057349791845E-2</v>
      </c>
      <c r="M52" s="342"/>
      <c r="N52" s="342"/>
      <c r="O52" s="342"/>
      <c r="P52" s="342"/>
    </row>
    <row r="53" spans="1:19" x14ac:dyDescent="0.25">
      <c r="A53" s="21" t="s">
        <v>749</v>
      </c>
      <c r="B53" s="574">
        <f>B29</f>
        <v>0.12777506640755584</v>
      </c>
      <c r="C53" s="571"/>
      <c r="D53" s="54"/>
      <c r="E53" s="54"/>
      <c r="F53" s="574">
        <f>F29</f>
        <v>0.19484911597455778</v>
      </c>
      <c r="G53" s="180"/>
      <c r="H53" s="458">
        <f>H29</f>
        <v>345.1832606489134</v>
      </c>
      <c r="I53" s="575"/>
      <c r="J53" s="576">
        <f>H53/SUM($H$52:$H$53)</f>
        <v>7.9411721647969884E-3</v>
      </c>
      <c r="K53" s="576"/>
      <c r="L53" s="180">
        <f>J53*F53</f>
        <v>1.5473303761124584E-3</v>
      </c>
      <c r="M53" s="342"/>
      <c r="N53" s="342"/>
      <c r="O53" s="342"/>
      <c r="P53" s="342"/>
    </row>
    <row r="54" spans="1:19" x14ac:dyDescent="0.25">
      <c r="A54" s="89" t="s">
        <v>750</v>
      </c>
      <c r="B54" s="574">
        <f>(B7*H7+B30*H30)/H54</f>
        <v>5.1459007902078718E-2</v>
      </c>
      <c r="C54" s="571"/>
      <c r="D54" s="54"/>
      <c r="E54" s="54"/>
      <c r="F54" s="574">
        <f>(F7*H7+F30*H30)/H54</f>
        <v>8.5547049343593848E-2</v>
      </c>
      <c r="G54" s="180"/>
      <c r="H54" s="458">
        <f>SUM(H7,H30)</f>
        <v>43323.635989439463</v>
      </c>
      <c r="I54" s="575"/>
      <c r="J54" s="576">
        <f>H54/SUM($H$52:$H$53)</f>
        <v>0.99668927036139787</v>
      </c>
      <c r="K54" s="571"/>
      <c r="L54" s="180">
        <f>J54*F54</f>
        <v>8.5263826191837047E-2</v>
      </c>
      <c r="M54" s="342"/>
      <c r="N54" s="342"/>
      <c r="O54" s="342"/>
      <c r="P54" s="342"/>
      <c r="R54" s="63"/>
      <c r="S54" s="597"/>
    </row>
    <row r="55" spans="1:19" x14ac:dyDescent="0.25">
      <c r="A55" s="89" t="s">
        <v>751</v>
      </c>
      <c r="B55" s="574">
        <f>(B8*H8+B31*H31)/H55</f>
        <v>0.2178052905795449</v>
      </c>
      <c r="C55" s="571"/>
      <c r="D55" s="54"/>
      <c r="E55" s="54"/>
      <c r="F55" s="574">
        <f>(F8*H8+F31*H31)/H55</f>
        <v>0.84002787104557008</v>
      </c>
      <c r="G55" s="180"/>
      <c r="H55" s="458">
        <f>SUM(H8,H31)</f>
        <v>43323.635989439463</v>
      </c>
      <c r="I55" s="575"/>
      <c r="J55" s="576">
        <f>H55/SUM($H$52:$H$53)</f>
        <v>0.99668927036139787</v>
      </c>
      <c r="K55" s="576"/>
      <c r="L55" s="180">
        <f>J55*F55</f>
        <v>0.83724676587564772</v>
      </c>
      <c r="M55" s="342"/>
      <c r="N55" s="342"/>
      <c r="O55" s="342"/>
      <c r="P55" s="342"/>
      <c r="R55" s="63"/>
    </row>
    <row r="56" spans="1:19" x14ac:dyDescent="0.25">
      <c r="A56" s="89" t="s">
        <v>752</v>
      </c>
      <c r="B56" s="574">
        <f>(B9*H9+B32*H32)/H56</f>
        <v>2.3153165998123365E-2</v>
      </c>
      <c r="C56" s="571"/>
      <c r="D56" s="54"/>
      <c r="E56" s="54"/>
      <c r="F56" s="574">
        <f>(F9*H9+F32*H32)/H56</f>
        <v>3.0164985781539571E-2</v>
      </c>
      <c r="G56" s="180"/>
      <c r="H56" s="458">
        <f>SUM(H9,H32)</f>
        <v>43323.635989439463</v>
      </c>
      <c r="I56" s="575"/>
      <c r="J56" s="576">
        <f>H56/SUM($H$52:$H$53)</f>
        <v>0.99668927036139787</v>
      </c>
      <c r="K56" s="576"/>
      <c r="L56" s="180">
        <f>J56*F56</f>
        <v>3.0065117669064615E-2</v>
      </c>
      <c r="M56" s="342"/>
      <c r="N56" s="342"/>
      <c r="O56" s="342"/>
      <c r="P56" s="342"/>
      <c r="R56" s="63"/>
      <c r="S56" s="25"/>
    </row>
    <row r="57" spans="1:19" x14ac:dyDescent="0.25">
      <c r="A57" s="25" t="s">
        <v>146</v>
      </c>
      <c r="B57" s="488"/>
      <c r="C57" s="488"/>
      <c r="D57" s="342"/>
      <c r="E57" s="342"/>
      <c r="F57" s="488"/>
      <c r="G57" s="488"/>
      <c r="H57" s="488"/>
      <c r="I57" s="488"/>
      <c r="J57" s="576"/>
      <c r="K57" s="576"/>
      <c r="L57" s="180">
        <f>SUM(L52:L56)</f>
        <v>0.96835209746245365</v>
      </c>
      <c r="M57" s="342"/>
      <c r="N57" s="203">
        <f>'Table 3.38-Form 3547 Dist'!I26</f>
        <v>0.69418282281898935</v>
      </c>
      <c r="O57" s="575" t="s">
        <v>241</v>
      </c>
      <c r="P57" s="180">
        <f>N57*L57</f>
        <v>0.67221339249917522</v>
      </c>
    </row>
    <row r="58" spans="1:19" x14ac:dyDescent="0.25">
      <c r="B58" s="574"/>
      <c r="C58" s="574"/>
      <c r="D58" s="342"/>
      <c r="E58" s="342"/>
      <c r="F58" s="180"/>
      <c r="G58" s="180"/>
      <c r="H58" s="180"/>
      <c r="I58" s="180"/>
      <c r="J58" s="576"/>
      <c r="K58" s="342"/>
      <c r="L58" s="342"/>
      <c r="M58" s="342"/>
      <c r="N58" s="203"/>
      <c r="O58" s="203"/>
      <c r="P58" s="342"/>
    </row>
    <row r="59" spans="1:19" x14ac:dyDescent="0.25">
      <c r="A59" s="15" t="s">
        <v>340</v>
      </c>
      <c r="B59" s="574"/>
      <c r="C59" s="574"/>
      <c r="D59" s="342"/>
      <c r="E59" s="342"/>
      <c r="F59" s="180"/>
      <c r="G59" s="180"/>
      <c r="H59" s="180"/>
      <c r="I59" s="180"/>
      <c r="J59" s="576"/>
      <c r="K59" s="342"/>
      <c r="L59" s="342"/>
      <c r="M59" s="342"/>
      <c r="N59" s="342"/>
      <c r="O59" s="342"/>
      <c r="P59" s="342"/>
    </row>
    <row r="60" spans="1:19" x14ac:dyDescent="0.25">
      <c r="A60" s="89" t="s">
        <v>754</v>
      </c>
      <c r="B60" s="574">
        <f>(B13*H13+B36*H36)/H60</f>
        <v>3.9747603598282694E-2</v>
      </c>
      <c r="C60" s="571"/>
      <c r="D60" s="54"/>
      <c r="E60" s="54"/>
      <c r="F60" s="180">
        <f>(F13*H13+F36*H36)/H60</f>
        <v>6.6077647917004267E-2</v>
      </c>
      <c r="G60" s="180"/>
      <c r="H60" s="458">
        <f>SUM(H13,H36)</f>
        <v>5194.8542125374261</v>
      </c>
      <c r="I60" s="575" t="s">
        <v>241</v>
      </c>
      <c r="J60" s="576">
        <f>H60/SUM($H$60:$H$61)</f>
        <v>0.96443395689399902</v>
      </c>
      <c r="K60" s="576"/>
      <c r="L60" s="180">
        <f>J60*F60</f>
        <v>6.3727527442844933E-2</v>
      </c>
      <c r="M60" s="342"/>
      <c r="N60" s="342"/>
      <c r="O60" s="342"/>
      <c r="P60" s="342"/>
    </row>
    <row r="61" spans="1:19" x14ac:dyDescent="0.25">
      <c r="A61" s="21" t="s">
        <v>749</v>
      </c>
      <c r="B61" s="574">
        <f>B37</f>
        <v>0.12777506640755584</v>
      </c>
      <c r="C61" s="571"/>
      <c r="D61" s="54"/>
      <c r="E61" s="54"/>
      <c r="F61" s="574">
        <f>F37</f>
        <v>0.19484911597455778</v>
      </c>
      <c r="G61" s="180"/>
      <c r="H61" s="458">
        <f>H37</f>
        <v>191.57393570786905</v>
      </c>
      <c r="I61" s="575"/>
      <c r="J61" s="576">
        <f>H61/SUM($H$60:$H$61)</f>
        <v>3.556604310600095E-2</v>
      </c>
      <c r="K61" s="576"/>
      <c r="L61" s="180">
        <f>J61*F61</f>
        <v>6.9300120579173004E-3</v>
      </c>
      <c r="M61" s="342"/>
      <c r="N61" s="342"/>
      <c r="O61" s="342"/>
      <c r="P61" s="342"/>
    </row>
    <row r="62" spans="1:19" x14ac:dyDescent="0.25">
      <c r="A62" s="89" t="s">
        <v>750</v>
      </c>
      <c r="B62" s="574">
        <f>(B14*H14+B38*H38)/H62</f>
        <v>5.8579972026301101E-2</v>
      </c>
      <c r="C62" s="571"/>
      <c r="D62" s="54"/>
      <c r="E62" s="54"/>
      <c r="F62" s="574">
        <f>(F14*H14+F38*H38)/H62</f>
        <v>9.7385160767506571E-2</v>
      </c>
      <c r="G62" s="180"/>
      <c r="H62" s="458">
        <f>SUM(H14,H38)</f>
        <v>5306.5596485112965</v>
      </c>
      <c r="I62" s="575"/>
      <c r="J62" s="576">
        <f>H62/SUM($H$60:$H$61)</f>
        <v>0.98517227046646538</v>
      </c>
      <c r="K62" s="571"/>
      <c r="L62" s="180">
        <f>J62*F62</f>
        <v>9.5941159943066193E-2</v>
      </c>
      <c r="M62" s="342"/>
      <c r="N62" s="342"/>
      <c r="O62" s="342"/>
      <c r="P62" s="342"/>
      <c r="R62" s="63"/>
    </row>
    <row r="63" spans="1:19" x14ac:dyDescent="0.25">
      <c r="A63" s="89" t="s">
        <v>751</v>
      </c>
      <c r="B63" s="574">
        <f>(B15*H15+B39*H39)/H63</f>
        <v>0.28328418268281386</v>
      </c>
      <c r="C63" s="571"/>
      <c r="D63" s="54"/>
      <c r="E63" s="54"/>
      <c r="F63" s="574">
        <f>(F15*H15+F39*H39)/H63</f>
        <v>1.0925657877581283</v>
      </c>
      <c r="G63" s="180"/>
      <c r="H63" s="458">
        <f>SUM(H15,H39)</f>
        <v>5306.5596485112965</v>
      </c>
      <c r="I63" s="180"/>
      <c r="J63" s="576">
        <f>H63/SUM($H$60:$H$61)</f>
        <v>0.98517227046646538</v>
      </c>
      <c r="K63" s="576"/>
      <c r="L63" s="180">
        <f>J63*F63</f>
        <v>1.0763655177596576</v>
      </c>
      <c r="M63" s="342"/>
      <c r="N63" s="342"/>
      <c r="O63" s="342"/>
      <c r="P63" s="342"/>
      <c r="R63" s="63"/>
    </row>
    <row r="64" spans="1:19" x14ac:dyDescent="0.25">
      <c r="A64" s="89" t="s">
        <v>752</v>
      </c>
      <c r="B64" s="574">
        <f>(B16*H16+B40*H40)/H64</f>
        <v>2.3153165998123369E-2</v>
      </c>
      <c r="C64" s="571"/>
      <c r="D64" s="54"/>
      <c r="E64" s="54"/>
      <c r="F64" s="574">
        <f>(F16*H16+F40*H40)/H64</f>
        <v>3.0164985781539574E-2</v>
      </c>
      <c r="G64" s="180"/>
      <c r="H64" s="458">
        <f>SUM(H16,H40)</f>
        <v>5306.5596485112965</v>
      </c>
      <c r="I64" s="180"/>
      <c r="J64" s="576">
        <f>H64/SUM($H$60:$H$61)</f>
        <v>0.98517227046646538</v>
      </c>
      <c r="K64" s="576"/>
      <c r="L64" s="180">
        <f>J64*F64</f>
        <v>2.9717707530987989E-2</v>
      </c>
      <c r="M64" s="342"/>
      <c r="N64" s="342"/>
      <c r="O64" s="342"/>
      <c r="P64" s="342"/>
      <c r="R64" s="63"/>
    </row>
    <row r="65" spans="1:17" x14ac:dyDescent="0.25">
      <c r="A65" s="24" t="s">
        <v>145</v>
      </c>
      <c r="B65" s="488"/>
      <c r="C65" s="488"/>
      <c r="D65" s="342"/>
      <c r="E65" s="342"/>
      <c r="F65" s="488"/>
      <c r="G65" s="488"/>
      <c r="H65" s="488"/>
      <c r="I65" s="488"/>
      <c r="J65" s="342"/>
      <c r="K65" s="342"/>
      <c r="L65" s="180">
        <f>SUM(L60:L64)</f>
        <v>1.2726819247344741</v>
      </c>
      <c r="M65" s="342"/>
      <c r="N65" s="203">
        <f>'Table 3.38-Form 3547 Dist'!I27</f>
        <v>8.6022016490274092E-2</v>
      </c>
      <c r="O65" s="575" t="s">
        <v>241</v>
      </c>
      <c r="P65" s="180">
        <f>N65*L65</f>
        <v>0.1094786655163827</v>
      </c>
    </row>
    <row r="66" spans="1:17" x14ac:dyDescent="0.25">
      <c r="A66" s="24"/>
      <c r="B66" s="488"/>
      <c r="C66" s="488"/>
      <c r="D66" s="342"/>
      <c r="E66" s="342"/>
      <c r="F66" s="488"/>
      <c r="G66" s="488"/>
      <c r="H66" s="488"/>
      <c r="I66" s="488"/>
      <c r="J66" s="342"/>
      <c r="K66" s="342"/>
      <c r="L66" s="180"/>
      <c r="M66" s="342"/>
      <c r="N66" s="203"/>
      <c r="O66" s="575"/>
      <c r="P66" s="180"/>
    </row>
    <row r="67" spans="1:17" x14ac:dyDescent="0.25">
      <c r="A67" s="15" t="s">
        <v>341</v>
      </c>
      <c r="B67" s="488"/>
      <c r="C67" s="488"/>
      <c r="D67" s="342"/>
      <c r="E67" s="342"/>
      <c r="F67" s="180">
        <v>0</v>
      </c>
      <c r="G67" s="488"/>
      <c r="H67" s="458">
        <f>SUM(H19,H43)</f>
        <v>13762.88174465822</v>
      </c>
      <c r="I67" s="575"/>
      <c r="J67" s="576"/>
      <c r="K67" s="342"/>
      <c r="L67" s="180">
        <v>0</v>
      </c>
      <c r="M67" s="342"/>
      <c r="N67" s="203">
        <f>'Table 3.38-Form 3547 Dist'!I25</f>
        <v>0.21979516069073665</v>
      </c>
      <c r="O67" s="575" t="s">
        <v>241</v>
      </c>
      <c r="P67" s="180">
        <f>N67*L67</f>
        <v>0</v>
      </c>
    </row>
    <row r="68" spans="1:17" x14ac:dyDescent="0.25">
      <c r="A68" s="48"/>
      <c r="B68" s="85"/>
      <c r="C68" s="85"/>
      <c r="D68" s="48"/>
      <c r="E68" s="48"/>
      <c r="F68" s="92"/>
      <c r="G68" s="92"/>
      <c r="H68" s="92"/>
      <c r="I68" s="92"/>
      <c r="J68" s="182"/>
      <c r="K68" s="182"/>
      <c r="L68" s="48"/>
      <c r="M68" s="48"/>
      <c r="N68" s="48"/>
      <c r="O68" s="48"/>
      <c r="P68" s="48"/>
    </row>
    <row r="69" spans="1:17" x14ac:dyDescent="0.25">
      <c r="A69" s="15"/>
      <c r="B69" s="85"/>
      <c r="C69" s="85"/>
      <c r="D69" s="48"/>
      <c r="E69" s="48"/>
      <c r="F69" s="92"/>
      <c r="G69" s="92"/>
      <c r="H69" s="92"/>
      <c r="I69" s="92"/>
      <c r="J69" s="48"/>
      <c r="K69" s="48"/>
      <c r="L69" s="48"/>
      <c r="M69" s="48"/>
      <c r="N69" s="48"/>
      <c r="O69" s="459" t="s">
        <v>454</v>
      </c>
      <c r="P69" s="413">
        <f>P65+P57+P67</f>
        <v>0.78169205801555797</v>
      </c>
    </row>
    <row r="70" spans="1:17" hidden="1" x14ac:dyDescent="0.25">
      <c r="A70" s="21"/>
      <c r="B70" s="85"/>
      <c r="C70" s="286"/>
      <c r="D70" s="54"/>
      <c r="E70" s="54"/>
      <c r="F70" s="92"/>
      <c r="G70" s="92"/>
      <c r="H70" s="197"/>
      <c r="I70" s="92"/>
      <c r="J70" s="179"/>
      <c r="K70" s="179"/>
      <c r="L70" s="92"/>
      <c r="M70" s="48"/>
      <c r="N70" s="48"/>
      <c r="O70" s="48"/>
      <c r="P70" s="48"/>
    </row>
    <row r="71" spans="1:17" hidden="1" x14ac:dyDescent="0.25">
      <c r="A71" s="15"/>
      <c r="B71" s="83"/>
      <c r="C71" s="83"/>
      <c r="D71" s="48"/>
      <c r="E71" s="48"/>
      <c r="F71" s="83"/>
      <c r="G71" s="83"/>
      <c r="H71" s="83"/>
      <c r="I71" s="83"/>
      <c r="J71" s="48"/>
      <c r="K71" s="48"/>
      <c r="L71" s="92"/>
      <c r="M71" s="48"/>
      <c r="N71" s="181"/>
      <c r="O71" s="181"/>
      <c r="P71" s="413"/>
    </row>
    <row r="72" spans="1:17" hidden="1" x14ac:dyDescent="0.25">
      <c r="A72" s="15"/>
      <c r="B72" s="83"/>
      <c r="C72" s="83"/>
      <c r="D72" s="48"/>
      <c r="E72" s="48"/>
      <c r="F72" s="83"/>
      <c r="G72" s="457" t="s">
        <v>451</v>
      </c>
      <c r="H72" s="414">
        <v>0</v>
      </c>
      <c r="I72" s="83"/>
      <c r="J72" s="48"/>
      <c r="K72" s="48"/>
      <c r="L72" s="92"/>
      <c r="M72" s="48"/>
      <c r="N72" s="181" t="s">
        <v>188</v>
      </c>
      <c r="O72" s="181"/>
      <c r="P72" s="414">
        <f>(L10*H6+L17*H13+L19*H19)-P21*SUM(H6,H13,H19)</f>
        <v>0</v>
      </c>
    </row>
    <row r="73" spans="1:17" hidden="1" x14ac:dyDescent="0.25">
      <c r="A73" s="15"/>
      <c r="B73" s="83"/>
      <c r="C73" s="83"/>
      <c r="D73" s="48"/>
      <c r="H73" s="414">
        <v>0</v>
      </c>
      <c r="I73" s="83"/>
      <c r="J73" s="48"/>
      <c r="K73" s="48"/>
      <c r="L73" s="92"/>
      <c r="M73" s="48"/>
      <c r="N73" s="181"/>
      <c r="O73" s="181"/>
      <c r="P73" s="414">
        <f>(SUM(H28:H29)*L33+SUM(H36:H37)*L41+H43*L43)-P45*SUM(H28:H29,H36:H37,H43)</f>
        <v>0</v>
      </c>
    </row>
    <row r="74" spans="1:17" hidden="1" x14ac:dyDescent="0.25">
      <c r="A74" s="15"/>
      <c r="B74" s="83"/>
      <c r="C74" s="83"/>
      <c r="D74" s="48"/>
      <c r="H74" s="414">
        <v>0</v>
      </c>
      <c r="I74" s="83"/>
      <c r="J74" s="48"/>
      <c r="K74" s="48"/>
      <c r="L74" s="92"/>
      <c r="M74" s="48"/>
      <c r="N74" s="181"/>
      <c r="O74" s="181"/>
      <c r="P74" s="414">
        <f>(SUM(H52:H53)*L57+SUM(H60:H61)*L65+H67*L67)-P69*SUM(H52:H53,H60:H61,H67)</f>
        <v>0</v>
      </c>
      <c r="Q74" s="53"/>
    </row>
    <row r="75" spans="1:17" hidden="1" x14ac:dyDescent="0.25">
      <c r="A75" s="15"/>
      <c r="B75" s="83"/>
      <c r="C75" s="83"/>
      <c r="D75" s="48"/>
      <c r="E75" s="48"/>
      <c r="F75" s="83"/>
      <c r="G75" s="83"/>
      <c r="H75" s="414">
        <v>0</v>
      </c>
      <c r="I75" s="83"/>
      <c r="J75" s="48"/>
      <c r="K75" s="48"/>
      <c r="L75" s="92"/>
      <c r="M75" s="48"/>
      <c r="N75" s="181"/>
      <c r="O75" s="181"/>
      <c r="P75" s="414">
        <f>P69-'Table 3.41-Man Notice'!F25</f>
        <v>0</v>
      </c>
    </row>
    <row r="76" spans="1:17" hidden="1" x14ac:dyDescent="0.25">
      <c r="A76" s="15"/>
      <c r="B76" s="83"/>
      <c r="C76" s="83"/>
      <c r="D76" s="48"/>
      <c r="E76" s="48"/>
      <c r="F76" s="83"/>
      <c r="G76" s="83"/>
      <c r="H76" s="414">
        <v>0</v>
      </c>
      <c r="I76" s="83"/>
      <c r="J76" s="48"/>
      <c r="K76" s="48"/>
      <c r="L76" s="92"/>
      <c r="M76" s="48"/>
      <c r="N76" s="181"/>
      <c r="O76" s="181"/>
      <c r="P76" s="461"/>
    </row>
    <row r="77" spans="1:17" hidden="1" x14ac:dyDescent="0.25">
      <c r="A77" s="15"/>
      <c r="B77" s="83"/>
      <c r="C77" s="83"/>
      <c r="D77" s="48"/>
      <c r="E77" s="48"/>
      <c r="F77" s="83"/>
      <c r="G77" s="457" t="s">
        <v>452</v>
      </c>
      <c r="H77" s="414">
        <v>0</v>
      </c>
      <c r="I77" s="83"/>
      <c r="J77" s="48"/>
      <c r="K77" s="48"/>
      <c r="L77" s="92"/>
      <c r="M77" s="48"/>
      <c r="N77" s="181"/>
      <c r="O77" s="181"/>
      <c r="P77" s="461"/>
    </row>
    <row r="78" spans="1:17" hidden="1" x14ac:dyDescent="0.25">
      <c r="A78" s="15"/>
      <c r="B78" s="83"/>
      <c r="C78" s="83"/>
      <c r="D78" s="48"/>
      <c r="E78" s="48"/>
      <c r="F78" s="83"/>
      <c r="G78" s="457"/>
      <c r="H78" s="414">
        <v>0</v>
      </c>
      <c r="I78" s="83"/>
      <c r="J78" s="48"/>
      <c r="K78" s="48"/>
      <c r="L78" s="92"/>
      <c r="M78" s="48"/>
      <c r="N78" s="181"/>
      <c r="O78" s="181"/>
      <c r="P78" s="461"/>
    </row>
    <row r="79" spans="1:17" x14ac:dyDescent="0.25">
      <c r="A79" s="141"/>
      <c r="B79" s="289"/>
      <c r="C79" s="289"/>
      <c r="D79" s="141"/>
      <c r="E79" s="141"/>
      <c r="F79" s="141"/>
      <c r="G79" s="141"/>
      <c r="H79" s="141"/>
      <c r="I79" s="141"/>
      <c r="J79" s="141"/>
      <c r="K79" s="141"/>
      <c r="L79" s="141"/>
    </row>
    <row r="80" spans="1:17" x14ac:dyDescent="0.25">
      <c r="A80" s="47" t="s">
        <v>235</v>
      </c>
      <c r="B80" s="45"/>
      <c r="C80" s="45"/>
    </row>
    <row r="81" spans="1:7" x14ac:dyDescent="0.25">
      <c r="A81" s="25" t="s">
        <v>788</v>
      </c>
      <c r="B81" s="145"/>
      <c r="G81" s="145" t="s">
        <v>755</v>
      </c>
    </row>
    <row r="82" spans="1:7" x14ac:dyDescent="0.25">
      <c r="A82" s="25" t="s">
        <v>756</v>
      </c>
      <c r="B82" s="407"/>
      <c r="C82" s="243"/>
      <c r="D82" s="140"/>
      <c r="G82" s="25" t="s">
        <v>789</v>
      </c>
    </row>
    <row r="83" spans="1:7" x14ac:dyDescent="0.25">
      <c r="A83" s="145" t="s">
        <v>757</v>
      </c>
      <c r="G83" s="25" t="s">
        <v>790</v>
      </c>
    </row>
    <row r="84" spans="1:7" x14ac:dyDescent="0.25">
      <c r="A84" s="25" t="s">
        <v>791</v>
      </c>
      <c r="G84" s="407" t="s">
        <v>758</v>
      </c>
    </row>
    <row r="85" spans="1:7" x14ac:dyDescent="0.25">
      <c r="A85" s="25" t="s">
        <v>11</v>
      </c>
    </row>
    <row r="86" spans="1:7" x14ac:dyDescent="0.25">
      <c r="A86" s="145" t="s">
        <v>88</v>
      </c>
    </row>
  </sheetData>
  <phoneticPr fontId="0" type="noConversion"/>
  <printOptions horizontalCentered="1"/>
  <pageMargins left="0.75" right="0.75" top="1" bottom="1" header="0.5" footer="0.5"/>
  <pageSetup scale="81" fitToHeight="3" orientation="landscape" r:id="rId1"/>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5">
    <pageSetUpPr fitToPage="1"/>
  </sheetPr>
  <dimension ref="A1:R27"/>
  <sheetViews>
    <sheetView zoomScale="70" workbookViewId="0"/>
  </sheetViews>
  <sheetFormatPr defaultColWidth="9.109375" defaultRowHeight="13.2" x14ac:dyDescent="0.25"/>
  <cols>
    <col min="1" max="1" width="42.44140625" style="11" customWidth="1"/>
    <col min="2" max="2" width="8.88671875" style="38" customWidth="1"/>
    <col min="3" max="3" width="3.44140625" style="38" customWidth="1"/>
    <col min="4" max="4" width="10.6640625" style="11" customWidth="1"/>
    <col min="5" max="5" width="3.44140625" style="11" customWidth="1"/>
    <col min="6" max="6" width="9.88671875" style="11" customWidth="1"/>
    <col min="7" max="7" width="3.44140625" style="11" customWidth="1"/>
    <col min="8" max="8" width="10.6640625" style="11" customWidth="1"/>
    <col min="9" max="9" width="3.44140625" style="11" customWidth="1"/>
    <col min="10" max="10" width="10.6640625" style="11" customWidth="1"/>
    <col min="11" max="11" width="3.44140625" style="11" customWidth="1"/>
    <col min="12" max="12" width="11.6640625" style="11" customWidth="1"/>
    <col min="13" max="13" width="3.44140625" style="11" customWidth="1"/>
    <col min="14" max="14" width="8.6640625" style="11" customWidth="1"/>
    <col min="15" max="15" width="3.44140625" style="11" customWidth="1"/>
    <col min="16" max="16" width="14.5546875" style="11" customWidth="1"/>
    <col min="17" max="17" width="10.5546875" style="11" bestFit="1" customWidth="1"/>
    <col min="18" max="18" width="12" style="11" customWidth="1"/>
    <col min="19" max="16384" width="9.109375" style="11"/>
  </cols>
  <sheetData>
    <row r="1" spans="1:18" ht="15.6" x14ac:dyDescent="0.3">
      <c r="A1" s="158" t="s">
        <v>555</v>
      </c>
    </row>
    <row r="2" spans="1:18" ht="15.6" x14ac:dyDescent="0.3">
      <c r="A2" s="158" t="s">
        <v>787</v>
      </c>
    </row>
    <row r="3" spans="1:18" ht="5.0999999999999996" customHeight="1" x14ac:dyDescent="0.3">
      <c r="A3" s="454"/>
    </row>
    <row r="4" spans="1:18" x14ac:dyDescent="0.25">
      <c r="A4" s="15"/>
      <c r="B4" s="83"/>
      <c r="C4" s="83"/>
      <c r="D4" s="48"/>
      <c r="E4" s="48"/>
      <c r="F4" s="83"/>
      <c r="G4" s="83"/>
      <c r="H4" s="83"/>
      <c r="I4" s="83"/>
      <c r="J4" s="48"/>
      <c r="K4" s="48"/>
      <c r="L4" s="92"/>
      <c r="M4" s="48"/>
      <c r="N4" s="181"/>
      <c r="O4" s="181"/>
      <c r="P4" s="413"/>
    </row>
    <row r="5" spans="1:18" ht="15.6" x14ac:dyDescent="0.3">
      <c r="A5" s="158" t="s">
        <v>760</v>
      </c>
      <c r="B5" s="45"/>
      <c r="C5" s="45"/>
    </row>
    <row r="6" spans="1:18" ht="26.4" x14ac:dyDescent="0.25">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x14ac:dyDescent="0.25">
      <c r="A7" s="89" t="s">
        <v>141</v>
      </c>
      <c r="B7" s="85">
        <v>0.56556286481955176</v>
      </c>
      <c r="C7" s="288" t="s">
        <v>241</v>
      </c>
      <c r="D7" s="54">
        <v>1.6624309879114112</v>
      </c>
      <c r="E7" s="54"/>
      <c r="F7" s="92">
        <f>B7*D7</f>
        <v>0.94020923208797536</v>
      </c>
      <c r="G7" s="92"/>
      <c r="H7" s="135">
        <f>'Table 3.39-Form 3579 Dist'!B5</f>
        <v>5888.6433187378107</v>
      </c>
      <c r="I7" s="288" t="s">
        <v>240</v>
      </c>
      <c r="J7" s="179">
        <f>H7/SUM($H$7:$H$8)</f>
        <v>0.56239069836320355</v>
      </c>
      <c r="K7" s="179"/>
      <c r="L7" s="92">
        <f>J7*F7</f>
        <v>0.52876492664148778</v>
      </c>
      <c r="M7" s="48"/>
      <c r="N7" s="48"/>
      <c r="O7" s="48"/>
      <c r="P7" s="48"/>
      <c r="R7" s="63"/>
    </row>
    <row r="8" spans="1:18" x14ac:dyDescent="0.25">
      <c r="A8" s="21" t="s">
        <v>749</v>
      </c>
      <c r="B8" s="85">
        <v>0.56556286481955176</v>
      </c>
      <c r="C8" s="288" t="s">
        <v>243</v>
      </c>
      <c r="D8" s="54">
        <v>1.5249384833271007</v>
      </c>
      <c r="E8" s="54"/>
      <c r="F8" s="92">
        <f>B8*D8</f>
        <v>0.86244857730405733</v>
      </c>
      <c r="G8" s="92"/>
      <c r="H8" s="135">
        <f>'Table 3.39-Form 3579 Dist'!B6</f>
        <v>4582.0905249695461</v>
      </c>
      <c r="I8" s="288" t="s">
        <v>240</v>
      </c>
      <c r="J8" s="179">
        <f>H8/SUM($H$7:$H$8)</f>
        <v>0.43760930163679651</v>
      </c>
      <c r="K8" s="179"/>
      <c r="L8" s="92">
        <f>J8*F8</f>
        <v>0.37741551961167724</v>
      </c>
      <c r="M8" s="48"/>
      <c r="N8" s="48"/>
      <c r="O8" s="48"/>
      <c r="P8" s="48"/>
      <c r="R8" s="63"/>
    </row>
    <row r="9" spans="1:18" x14ac:dyDescent="0.25">
      <c r="A9" s="89" t="s">
        <v>750</v>
      </c>
      <c r="B9" s="85">
        <f>'Table 3.40-Form Processing'!$B$6</f>
        <v>0.2215119125800333</v>
      </c>
      <c r="C9" s="286" t="s">
        <v>238</v>
      </c>
      <c r="D9" s="54">
        <v>1.6624309879114112</v>
      </c>
      <c r="E9" s="54"/>
      <c r="F9" s="92">
        <f>B9*D9</f>
        <v>0.36824826766457092</v>
      </c>
      <c r="G9" s="92"/>
      <c r="H9" s="135">
        <f>SUM(H7:H8)/'Table 3.40-Form Processing'!D6</f>
        <v>1255.8842251378953</v>
      </c>
      <c r="I9" s="288" t="s">
        <v>242</v>
      </c>
      <c r="J9" s="179">
        <f>'Table 3.40-Form Processing'!D6^-1</f>
        <v>0.1199423310614136</v>
      </c>
      <c r="K9" s="286" t="s">
        <v>238</v>
      </c>
      <c r="L9" s="92">
        <f>J9*F9</f>
        <v>4.4168555633016013E-2</v>
      </c>
      <c r="M9" s="48"/>
      <c r="N9" s="48"/>
      <c r="O9" s="48"/>
      <c r="P9" s="48"/>
      <c r="R9" s="63"/>
    </row>
    <row r="10" spans="1:18" x14ac:dyDescent="0.25">
      <c r="A10" s="89" t="s">
        <v>751</v>
      </c>
      <c r="B10" s="85">
        <v>0.40027795591930271</v>
      </c>
      <c r="C10" s="286" t="s">
        <v>239</v>
      </c>
      <c r="D10" s="54">
        <v>3.8567835924021443</v>
      </c>
      <c r="E10" s="54"/>
      <c r="F10" s="92">
        <f>B10*D10</f>
        <v>1.5437854527898354</v>
      </c>
      <c r="G10" s="92"/>
      <c r="H10" s="197">
        <f>H9</f>
        <v>1255.8842251378953</v>
      </c>
      <c r="I10" s="92"/>
      <c r="J10" s="179">
        <f>J9</f>
        <v>0.1199423310614136</v>
      </c>
      <c r="K10" s="179"/>
      <c r="L10" s="92">
        <f>J10*F10</f>
        <v>0.18516522586631273</v>
      </c>
      <c r="M10" s="48"/>
      <c r="N10" s="48"/>
      <c r="O10" s="48"/>
      <c r="P10" s="48"/>
      <c r="R10" s="63"/>
    </row>
    <row r="11" spans="1:18" x14ac:dyDescent="0.25">
      <c r="A11" s="89" t="s">
        <v>752</v>
      </c>
      <c r="B11" s="85">
        <v>2.3153165998123365E-2</v>
      </c>
      <c r="C11" s="286" t="s">
        <v>239</v>
      </c>
      <c r="D11" s="54">
        <v>1.302844966601308</v>
      </c>
      <c r="E11" s="54"/>
      <c r="F11" s="92">
        <f>B11*D11</f>
        <v>3.0164985781539574E-2</v>
      </c>
      <c r="G11" s="92"/>
      <c r="H11" s="197">
        <f>H10</f>
        <v>1255.8842251378953</v>
      </c>
      <c r="I11" s="92"/>
      <c r="J11" s="179">
        <f>J9</f>
        <v>0.1199423310614136</v>
      </c>
      <c r="K11" s="179"/>
      <c r="L11" s="92">
        <f>J11*F11</f>
        <v>3.6180587110722535E-3</v>
      </c>
      <c r="M11" s="48"/>
      <c r="N11" s="48"/>
      <c r="O11" s="48"/>
      <c r="P11" s="48"/>
      <c r="R11" s="63"/>
    </row>
    <row r="12" spans="1:18" x14ac:dyDescent="0.25">
      <c r="A12" s="15" t="s">
        <v>761</v>
      </c>
      <c r="B12" s="83"/>
      <c r="C12" s="83"/>
      <c r="D12" s="48"/>
      <c r="E12" s="48"/>
      <c r="F12" s="83"/>
      <c r="G12" s="83"/>
      <c r="H12" s="83"/>
      <c r="I12" s="83"/>
      <c r="J12" s="48"/>
      <c r="K12" s="48"/>
      <c r="L12" s="92">
        <f>SUM(L7:L11)</f>
        <v>1.1391322864635662</v>
      </c>
      <c r="M12" s="48"/>
      <c r="N12" s="181">
        <v>1</v>
      </c>
      <c r="O12" s="181"/>
      <c r="P12" s="413">
        <f>L12*N12</f>
        <v>1.1391322864635662</v>
      </c>
    </row>
    <row r="13" spans="1:18" ht="12.75" hidden="1" customHeight="1" x14ac:dyDescent="0.25">
      <c r="A13" s="15"/>
      <c r="B13" s="83"/>
      <c r="C13" s="83"/>
      <c r="D13" s="48"/>
      <c r="E13" s="48"/>
      <c r="F13" s="83"/>
      <c r="G13" s="83"/>
      <c r="H13" s="83"/>
      <c r="I13" s="83"/>
      <c r="J13" s="48"/>
      <c r="K13" s="48"/>
      <c r="L13" s="92"/>
      <c r="M13" s="48"/>
      <c r="N13" s="181"/>
      <c r="O13" s="181"/>
      <c r="P13" s="413"/>
    </row>
    <row r="14" spans="1:18" ht="12.75" hidden="1" customHeight="1" x14ac:dyDescent="0.25">
      <c r="A14" s="15"/>
      <c r="B14" s="83"/>
      <c r="C14" s="83"/>
      <c r="D14" s="48"/>
      <c r="E14" s="48"/>
      <c r="F14" s="83"/>
      <c r="G14" s="457" t="s">
        <v>451</v>
      </c>
      <c r="H14" s="460">
        <v>0</v>
      </c>
      <c r="I14" s="83"/>
      <c r="J14" s="48"/>
      <c r="K14" s="48"/>
      <c r="L14" s="92"/>
      <c r="M14" s="48"/>
      <c r="N14" s="181" t="s">
        <v>188</v>
      </c>
      <c r="O14" s="181"/>
      <c r="P14" s="414">
        <f>P12-'Table 3.41-Man Notice'!F33</f>
        <v>0</v>
      </c>
    </row>
    <row r="15" spans="1:18" ht="12.75" hidden="1" customHeight="1" x14ac:dyDescent="0.25">
      <c r="A15" s="15"/>
      <c r="B15" s="83"/>
      <c r="C15" s="83"/>
      <c r="D15" s="48"/>
      <c r="E15" s="48"/>
      <c r="F15" s="83"/>
      <c r="G15" s="457" t="s">
        <v>452</v>
      </c>
      <c r="H15" s="460">
        <v>0</v>
      </c>
      <c r="I15" s="83"/>
      <c r="J15" s="48"/>
      <c r="K15" s="48"/>
      <c r="L15" s="92"/>
      <c r="M15" s="48"/>
      <c r="N15" s="181"/>
      <c r="O15" s="181"/>
      <c r="P15" s="461"/>
    </row>
    <row r="16" spans="1:18" ht="12.75" hidden="1" customHeight="1" x14ac:dyDescent="0.25">
      <c r="A16" s="15"/>
      <c r="B16" s="83"/>
      <c r="C16" s="83"/>
      <c r="D16" s="48"/>
      <c r="E16" s="48"/>
      <c r="F16" s="83"/>
      <c r="G16" s="457"/>
      <c r="H16" s="573"/>
      <c r="I16" s="83"/>
      <c r="J16" s="48"/>
      <c r="K16" s="48"/>
      <c r="L16" s="92"/>
      <c r="M16" s="48"/>
      <c r="N16" s="181"/>
      <c r="O16" s="181"/>
      <c r="P16" s="461"/>
    </row>
    <row r="17" spans="1:6" x14ac:dyDescent="0.25">
      <c r="A17" s="141"/>
      <c r="B17" s="289"/>
      <c r="C17" s="289"/>
      <c r="D17" s="141"/>
      <c r="E17" s="141"/>
      <c r="F17" s="141"/>
    </row>
    <row r="18" spans="1:6" x14ac:dyDescent="0.25">
      <c r="A18" s="47" t="s">
        <v>235</v>
      </c>
      <c r="B18" s="45"/>
      <c r="C18" s="45"/>
    </row>
    <row r="19" spans="1:6" x14ac:dyDescent="0.25">
      <c r="A19" s="25" t="s">
        <v>788</v>
      </c>
      <c r="B19" s="11"/>
    </row>
    <row r="20" spans="1:6" x14ac:dyDescent="0.25">
      <c r="A20" s="145" t="s">
        <v>762</v>
      </c>
      <c r="B20" s="11"/>
    </row>
    <row r="21" spans="1:6" x14ac:dyDescent="0.25">
      <c r="A21" s="25" t="s">
        <v>792</v>
      </c>
      <c r="B21" s="11"/>
    </row>
    <row r="22" spans="1:6" x14ac:dyDescent="0.25">
      <c r="A22" s="145" t="s">
        <v>763</v>
      </c>
    </row>
    <row r="23" spans="1:6" x14ac:dyDescent="0.25">
      <c r="A23" s="25" t="s">
        <v>793</v>
      </c>
    </row>
    <row r="24" spans="1:6" x14ac:dyDescent="0.25">
      <c r="A24" s="407" t="s">
        <v>764</v>
      </c>
    </row>
    <row r="25" spans="1:6" x14ac:dyDescent="0.25">
      <c r="A25" s="25" t="s">
        <v>794</v>
      </c>
    </row>
    <row r="27" spans="1:6" x14ac:dyDescent="0.25">
      <c r="A27" s="38"/>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4"/>
  <dimension ref="A1:T89"/>
  <sheetViews>
    <sheetView zoomScale="70" zoomScaleNormal="70" workbookViewId="0"/>
  </sheetViews>
  <sheetFormatPr defaultColWidth="9.109375" defaultRowHeight="13.2" x14ac:dyDescent="0.25"/>
  <cols>
    <col min="1" max="1" width="18.109375" style="11" customWidth="1"/>
    <col min="2" max="2" width="14.88671875" style="11" customWidth="1"/>
    <col min="3" max="3" width="21.44140625" style="11" customWidth="1"/>
    <col min="4" max="4" width="11.6640625" style="11" customWidth="1"/>
    <col min="5" max="5" width="3.44140625" style="11" customWidth="1"/>
    <col min="6" max="6" width="11.6640625" style="11" customWidth="1"/>
    <col min="7" max="7" width="3.44140625" style="11" customWidth="1"/>
    <col min="8" max="8" width="11.6640625" style="11" customWidth="1"/>
    <col min="9" max="9" width="3.44140625" style="24" customWidth="1"/>
    <col min="10" max="10" width="11.6640625" style="11" customWidth="1"/>
    <col min="11" max="11" width="3.44140625" style="24" customWidth="1"/>
    <col min="12" max="12" width="11.6640625" style="24" customWidth="1"/>
    <col min="13" max="13" width="3.44140625" style="24" customWidth="1"/>
    <col min="14" max="14" width="11.6640625" style="11" customWidth="1"/>
    <col min="15" max="15" width="9.109375" style="11"/>
    <col min="16" max="16" width="9.33203125" style="11" bestFit="1" customWidth="1"/>
    <col min="17" max="16384" width="9.109375" style="11"/>
  </cols>
  <sheetData>
    <row r="1" spans="1:20" s="24" customFormat="1" ht="15.6" x14ac:dyDescent="0.3">
      <c r="A1" s="158" t="s">
        <v>556</v>
      </c>
    </row>
    <row r="2" spans="1:20" ht="15.75" customHeight="1" x14ac:dyDescent="0.3">
      <c r="A2" s="158" t="s">
        <v>787</v>
      </c>
      <c r="B2" s="36"/>
      <c r="C2" s="36"/>
      <c r="D2" s="36"/>
      <c r="E2" s="36"/>
      <c r="F2" s="36"/>
      <c r="G2" s="36"/>
      <c r="H2" s="36"/>
      <c r="I2" s="36"/>
      <c r="J2" s="36"/>
      <c r="K2" s="36"/>
      <c r="L2" s="36"/>
      <c r="M2" s="36"/>
      <c r="N2" s="36"/>
    </row>
    <row r="3" spans="1:20" ht="5.0999999999999996" customHeight="1" x14ac:dyDescent="0.3">
      <c r="A3" s="443"/>
      <c r="B3" s="36"/>
      <c r="C3" s="36"/>
      <c r="D3" s="36"/>
      <c r="E3" s="36"/>
      <c r="F3" s="36"/>
      <c r="G3" s="36"/>
      <c r="H3" s="36"/>
      <c r="I3" s="36"/>
      <c r="J3" s="36"/>
      <c r="K3" s="36"/>
      <c r="L3" s="36"/>
      <c r="M3" s="36"/>
      <c r="N3" s="36"/>
    </row>
    <row r="4" spans="1:20" ht="12.75" customHeight="1" x14ac:dyDescent="0.25">
      <c r="A4" s="429" t="s">
        <v>355</v>
      </c>
      <c r="B4" s="331"/>
      <c r="C4" s="331"/>
      <c r="D4" s="23"/>
      <c r="E4" s="23"/>
      <c r="F4" s="23"/>
      <c r="G4" s="23"/>
      <c r="H4" s="23"/>
      <c r="I4" s="23"/>
      <c r="J4" s="23"/>
      <c r="K4" s="23"/>
      <c r="L4" s="23"/>
      <c r="M4" s="23"/>
      <c r="N4" s="83"/>
      <c r="O4" s="4"/>
    </row>
    <row r="5" spans="1:20" ht="25.5" customHeight="1" x14ac:dyDescent="0.25">
      <c r="A5" s="431" t="s">
        <v>356</v>
      </c>
      <c r="B5" s="431" t="s">
        <v>357</v>
      </c>
      <c r="C5" s="432" t="s">
        <v>364</v>
      </c>
      <c r="D5" s="160" t="s">
        <v>370</v>
      </c>
      <c r="E5" s="23"/>
      <c r="F5" s="189" t="s">
        <v>249</v>
      </c>
      <c r="G5" s="160"/>
      <c r="H5" s="183" t="s">
        <v>337</v>
      </c>
      <c r="I5" s="159"/>
      <c r="J5" s="160" t="s">
        <v>246</v>
      </c>
      <c r="K5" s="159"/>
      <c r="L5" s="160" t="s">
        <v>218</v>
      </c>
      <c r="M5" s="159"/>
      <c r="N5" s="160" t="s">
        <v>338</v>
      </c>
      <c r="O5" s="4"/>
    </row>
    <row r="6" spans="1:20" ht="12.75" customHeight="1" x14ac:dyDescent="0.25">
      <c r="A6" s="327" t="s">
        <v>358</v>
      </c>
      <c r="B6" s="18" t="s">
        <v>184</v>
      </c>
      <c r="C6" s="18" t="s">
        <v>359</v>
      </c>
      <c r="D6" s="44">
        <v>13243.043</v>
      </c>
      <c r="E6" s="23"/>
      <c r="F6" s="46">
        <v>1163.12831740768</v>
      </c>
      <c r="G6" s="20"/>
      <c r="H6" s="85">
        <f t="shared" ref="H6:H13" si="0">IF(D6&lt;&gt;0,F6/D6,0)</f>
        <v>8.7829384636724364E-2</v>
      </c>
      <c r="I6" s="23"/>
      <c r="J6" s="54">
        <v>1.291821998616554</v>
      </c>
      <c r="K6" s="23"/>
      <c r="L6" s="46">
        <f t="shared" ref="L6:L12" si="1">F6*J6</f>
        <v>1502.5547476410989</v>
      </c>
      <c r="M6" s="23"/>
      <c r="N6" s="83">
        <f t="shared" ref="N6:N13" si="2">IF(D6&lt;&gt;0,L6/D6,0)</f>
        <v>0.11345993119867533</v>
      </c>
      <c r="O6" s="4"/>
    </row>
    <row r="7" spans="1:20" ht="12.75" customHeight="1" x14ac:dyDescent="0.25">
      <c r="A7" s="18"/>
      <c r="B7" s="327" t="s">
        <v>319</v>
      </c>
      <c r="C7" s="327" t="s">
        <v>377</v>
      </c>
      <c r="D7" s="44">
        <v>13243.043</v>
      </c>
      <c r="E7" s="23"/>
      <c r="F7" s="46">
        <v>239.77316973309473</v>
      </c>
      <c r="G7" s="20"/>
      <c r="H7" s="85">
        <f t="shared" si="0"/>
        <v>1.8105594743828494E-2</v>
      </c>
      <c r="I7" s="23"/>
      <c r="J7" s="54">
        <v>1.6624309879114112</v>
      </c>
      <c r="K7" s="23"/>
      <c r="L7" s="46">
        <f t="shared" si="1"/>
        <v>398.60634743403915</v>
      </c>
      <c r="M7" s="23"/>
      <c r="N7" s="83">
        <f t="shared" si="2"/>
        <v>3.0099301756706456E-2</v>
      </c>
      <c r="O7" s="4"/>
    </row>
    <row r="8" spans="1:20" ht="12.75" customHeight="1" x14ac:dyDescent="0.25">
      <c r="A8" s="18"/>
      <c r="B8" s="327"/>
      <c r="C8" s="327" t="s">
        <v>378</v>
      </c>
      <c r="D8" s="44">
        <v>13243.043</v>
      </c>
      <c r="E8" s="23"/>
      <c r="F8" s="46">
        <v>809.23444784919468</v>
      </c>
      <c r="G8" s="20"/>
      <c r="H8" s="85">
        <f t="shared" si="0"/>
        <v>6.1106382260421165E-2</v>
      </c>
      <c r="I8" s="23"/>
      <c r="J8" s="54">
        <v>1.6624309879114112</v>
      </c>
      <c r="K8" s="23"/>
      <c r="L8" s="46">
        <f t="shared" si="1"/>
        <v>1345.296422589882</v>
      </c>
      <c r="M8" s="23"/>
      <c r="N8" s="83">
        <f t="shared" si="2"/>
        <v>0.10158514342888429</v>
      </c>
      <c r="O8" s="4"/>
    </row>
    <row r="9" spans="1:20" ht="12.75" customHeight="1" x14ac:dyDescent="0.25">
      <c r="A9" s="18"/>
      <c r="B9" s="327"/>
      <c r="C9" s="327" t="s">
        <v>379</v>
      </c>
      <c r="D9" s="44">
        <v>57.244840976781497</v>
      </c>
      <c r="E9" s="23"/>
      <c r="F9" s="46">
        <v>26.044986250982678</v>
      </c>
      <c r="G9" s="20"/>
      <c r="H9" s="85">
        <f t="shared" si="0"/>
        <v>0.45497525727334143</v>
      </c>
      <c r="I9" s="23"/>
      <c r="J9" s="54">
        <v>1.6624309879114112</v>
      </c>
      <c r="K9" s="23"/>
      <c r="L9" s="46">
        <f t="shared" si="1"/>
        <v>43.297992223360254</v>
      </c>
      <c r="M9" s="23"/>
      <c r="N9" s="83">
        <f t="shared" si="2"/>
        <v>0.75636496642416939</v>
      </c>
      <c r="O9" s="4"/>
      <c r="Q9" s="140"/>
      <c r="R9" s="140"/>
      <c r="S9" s="140"/>
      <c r="T9" s="140"/>
    </row>
    <row r="10" spans="1:20" ht="12.75" customHeight="1" x14ac:dyDescent="0.25">
      <c r="A10" s="18"/>
      <c r="B10" s="364" t="s">
        <v>371</v>
      </c>
      <c r="C10" s="364" t="s">
        <v>372</v>
      </c>
      <c r="D10" s="44">
        <v>13243.043</v>
      </c>
      <c r="E10" s="23"/>
      <c r="F10" s="46">
        <v>40.177362078219424</v>
      </c>
      <c r="G10" s="20"/>
      <c r="H10" s="85">
        <f t="shared" si="0"/>
        <v>3.0338466829881489E-3</v>
      </c>
      <c r="I10" s="23"/>
      <c r="J10" s="54">
        <v>1.6624309879114112</v>
      </c>
      <c r="K10" s="23"/>
      <c r="L10" s="46">
        <f t="shared" si="1"/>
        <v>66.792091731368785</v>
      </c>
      <c r="M10" s="23"/>
      <c r="N10" s="83">
        <f t="shared" si="2"/>
        <v>5.0435607383717464E-3</v>
      </c>
      <c r="O10" s="4"/>
      <c r="Q10" s="140"/>
      <c r="R10" s="140"/>
      <c r="S10" s="140"/>
      <c r="T10" s="140"/>
    </row>
    <row r="11" spans="1:20" ht="12.75" customHeight="1" x14ac:dyDescent="0.25">
      <c r="A11" s="18"/>
      <c r="B11" s="18" t="s">
        <v>138</v>
      </c>
      <c r="C11" s="327" t="s">
        <v>380</v>
      </c>
      <c r="D11" s="44">
        <v>13243.043</v>
      </c>
      <c r="E11" s="23"/>
      <c r="F11" s="46">
        <v>8799.9125201174611</v>
      </c>
      <c r="G11" s="20"/>
      <c r="H11" s="85">
        <f t="shared" si="0"/>
        <v>0.66449323770355961</v>
      </c>
      <c r="I11" s="23"/>
      <c r="J11" s="54">
        <v>1.302844966601308</v>
      </c>
      <c r="K11" s="23"/>
      <c r="L11" s="46">
        <f t="shared" si="1"/>
        <v>11464.921733366866</v>
      </c>
      <c r="M11" s="23"/>
      <c r="N11" s="83">
        <f t="shared" si="2"/>
        <v>0.86573167008268914</v>
      </c>
      <c r="O11" s="4"/>
      <c r="Q11" s="140"/>
      <c r="R11" s="140"/>
      <c r="S11" s="140"/>
      <c r="T11" s="140"/>
    </row>
    <row r="12" spans="1:20" ht="12.75" customHeight="1" x14ac:dyDescent="0.25">
      <c r="A12" s="283"/>
      <c r="B12" s="283" t="s">
        <v>138</v>
      </c>
      <c r="C12" s="430" t="s">
        <v>182</v>
      </c>
      <c r="D12" s="434">
        <v>945.93164285714283</v>
      </c>
      <c r="E12" s="435"/>
      <c r="F12" s="438">
        <v>82.827800331989607</v>
      </c>
      <c r="G12" s="144"/>
      <c r="H12" s="436">
        <f t="shared" si="0"/>
        <v>8.7562141469136254E-2</v>
      </c>
      <c r="I12" s="435"/>
      <c r="J12" s="437">
        <v>1.5249384833271007</v>
      </c>
      <c r="K12" s="435"/>
      <c r="L12" s="438">
        <f t="shared" si="1"/>
        <v>126.30730021558416</v>
      </c>
      <c r="M12" s="435"/>
      <c r="N12" s="172">
        <f t="shared" si="2"/>
        <v>0.13352687920881767</v>
      </c>
      <c r="O12" s="4"/>
    </row>
    <row r="13" spans="1:20" ht="12.75" customHeight="1" x14ac:dyDescent="0.25">
      <c r="A13" s="18"/>
      <c r="B13" s="18"/>
      <c r="C13" s="433" t="s">
        <v>102</v>
      </c>
      <c r="D13" s="44">
        <v>13243.043</v>
      </c>
      <c r="E13" s="23"/>
      <c r="F13" s="46">
        <f>SUM(F6:F12)</f>
        <v>11161.098603768623</v>
      </c>
      <c r="G13" s="23"/>
      <c r="H13" s="85">
        <f t="shared" si="0"/>
        <v>0.84278957666818899</v>
      </c>
      <c r="I13" s="23"/>
      <c r="J13" s="23"/>
      <c r="K13" s="23"/>
      <c r="L13" s="46">
        <f>SUM(L6:L12)</f>
        <v>14947.776635202197</v>
      </c>
      <c r="M13" s="23"/>
      <c r="N13" s="83">
        <f t="shared" si="2"/>
        <v>1.1287267310996572</v>
      </c>
      <c r="O13" s="4"/>
    </row>
    <row r="14" spans="1:20" ht="12.75" customHeight="1" x14ac:dyDescent="0.25">
      <c r="A14" s="18"/>
      <c r="B14" s="18"/>
      <c r="C14" s="18"/>
      <c r="D14" s="23"/>
      <c r="E14" s="23"/>
      <c r="F14" s="23"/>
      <c r="G14" s="23"/>
      <c r="H14" s="23"/>
      <c r="I14" s="23"/>
      <c r="J14" s="23"/>
      <c r="K14" s="23"/>
      <c r="L14" s="23"/>
      <c r="M14" s="23"/>
      <c r="N14" s="83"/>
      <c r="O14" s="4"/>
    </row>
    <row r="15" spans="1:20" ht="12.75" customHeight="1" x14ac:dyDescent="0.25">
      <c r="A15" s="18" t="s">
        <v>360</v>
      </c>
      <c r="B15" s="18" t="s">
        <v>138</v>
      </c>
      <c r="C15" s="327" t="s">
        <v>361</v>
      </c>
      <c r="D15" s="44">
        <v>1760.6130000000001</v>
      </c>
      <c r="E15" s="23"/>
      <c r="F15" s="46">
        <v>935.93234617038195</v>
      </c>
      <c r="G15" s="20"/>
      <c r="H15" s="85">
        <f t="shared" ref="H15:H22" si="3">IF(D15&lt;&gt;0,F15/D15,0)</f>
        <v>0.53159459016284782</v>
      </c>
      <c r="I15" s="23"/>
      <c r="J15" s="54">
        <v>1.302844966601308</v>
      </c>
      <c r="K15" s="23"/>
      <c r="L15" s="46">
        <f t="shared" ref="L15:L21" si="4">F15*J15</f>
        <v>1219.3747462874351</v>
      </c>
      <c r="M15" s="23"/>
      <c r="N15" s="83">
        <f t="shared" ref="N15:N22" si="5">IF(D15&lt;&gt;0,L15/D15,0)</f>
        <v>0.69258533606615136</v>
      </c>
      <c r="O15" s="4"/>
    </row>
    <row r="16" spans="1:20" ht="12.75" customHeight="1" x14ac:dyDescent="0.25">
      <c r="A16" s="18"/>
      <c r="B16" s="327" t="s">
        <v>319</v>
      </c>
      <c r="C16" s="327" t="s">
        <v>377</v>
      </c>
      <c r="D16" s="44">
        <v>1760.6130000000001</v>
      </c>
      <c r="E16" s="23"/>
      <c r="F16" s="46">
        <v>31.876945478716117</v>
      </c>
      <c r="G16" s="20"/>
      <c r="H16" s="85">
        <f t="shared" si="3"/>
        <v>1.8105594743828494E-2</v>
      </c>
      <c r="I16" s="23"/>
      <c r="J16" s="54">
        <v>1.6624309879114112</v>
      </c>
      <c r="K16" s="23"/>
      <c r="L16" s="46">
        <f t="shared" si="4"/>
        <v>52.993221963780229</v>
      </c>
      <c r="M16" s="23"/>
      <c r="N16" s="83">
        <f t="shared" si="5"/>
        <v>3.009930175670646E-2</v>
      </c>
      <c r="O16" s="4"/>
    </row>
    <row r="17" spans="1:15" ht="12.75" customHeight="1" x14ac:dyDescent="0.25">
      <c r="A17" s="18"/>
      <c r="B17" s="327"/>
      <c r="C17" s="327" t="s">
        <v>378</v>
      </c>
      <c r="D17" s="44">
        <v>1760.6130000000001</v>
      </c>
      <c r="E17" s="23"/>
      <c r="F17" s="46">
        <v>107.58469099066689</v>
      </c>
      <c r="G17" s="20"/>
      <c r="H17" s="85">
        <f t="shared" si="3"/>
        <v>6.1106382260421165E-2</v>
      </c>
      <c r="I17" s="23"/>
      <c r="J17" s="54">
        <v>1.6624309879114112</v>
      </c>
      <c r="K17" s="23"/>
      <c r="L17" s="46">
        <f t="shared" si="4"/>
        <v>178.85212412775826</v>
      </c>
      <c r="M17" s="23"/>
      <c r="N17" s="83">
        <f t="shared" si="5"/>
        <v>0.10158514342888429</v>
      </c>
      <c r="O17" s="4"/>
    </row>
    <row r="18" spans="1:15" ht="12.75" customHeight="1" x14ac:dyDescent="0.25">
      <c r="A18" s="18"/>
      <c r="B18" s="327"/>
      <c r="C18" s="327" t="s">
        <v>379</v>
      </c>
      <c r="D18" s="44">
        <v>7.6104873484632041</v>
      </c>
      <c r="E18" s="23"/>
      <c r="F18" s="46">
        <v>3.4625834393425561</v>
      </c>
      <c r="G18" s="20"/>
      <c r="H18" s="85">
        <f t="shared" si="3"/>
        <v>0.45497525727334137</v>
      </c>
      <c r="I18" s="23"/>
      <c r="J18" s="54">
        <v>1.6624309879114112</v>
      </c>
      <c r="K18" s="23"/>
      <c r="L18" s="46">
        <f t="shared" si="4"/>
        <v>5.7563060077919372</v>
      </c>
      <c r="M18" s="23"/>
      <c r="N18" s="83">
        <f t="shared" si="5"/>
        <v>0.75636496642416939</v>
      </c>
      <c r="O18" s="4"/>
    </row>
    <row r="19" spans="1:15" ht="12.75" customHeight="1" x14ac:dyDescent="0.25">
      <c r="A19" s="18"/>
      <c r="B19" s="364" t="s">
        <v>371</v>
      </c>
      <c r="C19" s="364" t="s">
        <v>372</v>
      </c>
      <c r="D19" s="44">
        <v>1760.6130000000001</v>
      </c>
      <c r="E19" s="23"/>
      <c r="F19" s="46">
        <v>5.3414299100758145</v>
      </c>
      <c r="G19" s="20"/>
      <c r="H19" s="85">
        <f t="shared" si="3"/>
        <v>3.0338466829881493E-3</v>
      </c>
      <c r="I19" s="23"/>
      <c r="J19" s="54">
        <v>1.6624309879114112</v>
      </c>
      <c r="K19" s="23"/>
      <c r="L19" s="46">
        <f t="shared" si="4"/>
        <v>8.8797586022668966</v>
      </c>
      <c r="M19" s="23"/>
      <c r="N19" s="83">
        <f t="shared" si="5"/>
        <v>5.0435607383717464E-3</v>
      </c>
      <c r="O19" s="4"/>
    </row>
    <row r="20" spans="1:15" ht="12.75" customHeight="1" x14ac:dyDescent="0.25">
      <c r="A20" s="18"/>
      <c r="B20" s="18" t="s">
        <v>138</v>
      </c>
      <c r="C20" s="327" t="s">
        <v>380</v>
      </c>
      <c r="D20" s="44">
        <v>1760.6130000000001</v>
      </c>
      <c r="E20" s="23"/>
      <c r="F20" s="46">
        <v>1169.9154327129772</v>
      </c>
      <c r="G20" s="20"/>
      <c r="H20" s="85">
        <f t="shared" si="3"/>
        <v>0.66449323770355961</v>
      </c>
      <c r="I20" s="23"/>
      <c r="J20" s="54">
        <v>1.302844966601308</v>
      </c>
      <c r="K20" s="23"/>
      <c r="L20" s="46">
        <f t="shared" si="4"/>
        <v>1524.2184328592937</v>
      </c>
      <c r="M20" s="23"/>
      <c r="N20" s="83">
        <f t="shared" si="5"/>
        <v>0.86573167008268914</v>
      </c>
      <c r="O20" s="4"/>
    </row>
    <row r="21" spans="1:15" ht="12.75" customHeight="1" x14ac:dyDescent="0.25">
      <c r="A21" s="283"/>
      <c r="B21" s="283" t="s">
        <v>138</v>
      </c>
      <c r="C21" s="430" t="s">
        <v>182</v>
      </c>
      <c r="D21" s="434">
        <v>125.75807142857144</v>
      </c>
      <c r="E21" s="435"/>
      <c r="F21" s="438">
        <v>11.011646041314313</v>
      </c>
      <c r="G21" s="144"/>
      <c r="H21" s="436">
        <f t="shared" si="3"/>
        <v>8.756214146913624E-2</v>
      </c>
      <c r="I21" s="435"/>
      <c r="J21" s="437">
        <v>1.5249384833271007</v>
      </c>
      <c r="K21" s="435"/>
      <c r="L21" s="438">
        <f t="shared" si="4"/>
        <v>16.792082813176719</v>
      </c>
      <c r="M21" s="435"/>
      <c r="N21" s="172">
        <f t="shared" si="5"/>
        <v>0.13352687920881764</v>
      </c>
      <c r="O21" s="4"/>
    </row>
    <row r="22" spans="1:15" ht="12.75" customHeight="1" x14ac:dyDescent="0.25">
      <c r="A22" s="18"/>
      <c r="B22" s="18"/>
      <c r="C22" s="18"/>
      <c r="D22" s="44">
        <v>1760.6130000000001</v>
      </c>
      <c r="E22" s="23"/>
      <c r="F22" s="46">
        <f>SUM(F15:F21)</f>
        <v>2265.1250747434747</v>
      </c>
      <c r="G22" s="23"/>
      <c r="H22" s="85">
        <f t="shared" si="3"/>
        <v>1.2865547821943122</v>
      </c>
      <c r="I22" s="23"/>
      <c r="J22" s="23"/>
      <c r="K22" s="23"/>
      <c r="L22" s="46">
        <f>SUM(L15:L21)</f>
        <v>3006.8666726615029</v>
      </c>
      <c r="M22" s="23"/>
      <c r="N22" s="83">
        <f t="shared" si="5"/>
        <v>1.7078521359671335</v>
      </c>
      <c r="O22" s="4"/>
    </row>
    <row r="23" spans="1:15" ht="12.75" customHeight="1" x14ac:dyDescent="0.25">
      <c r="A23" s="18"/>
      <c r="B23" s="18"/>
      <c r="C23" s="18"/>
      <c r="D23" s="23"/>
      <c r="E23" s="23"/>
      <c r="F23" s="23"/>
      <c r="G23" s="23"/>
      <c r="H23" s="23"/>
      <c r="I23" s="23"/>
      <c r="J23" s="23"/>
      <c r="K23" s="23"/>
      <c r="L23" s="23"/>
      <c r="M23" s="23"/>
      <c r="N23" s="83"/>
      <c r="O23" s="4"/>
    </row>
    <row r="24" spans="1:15" ht="12.75" customHeight="1" x14ac:dyDescent="0.25">
      <c r="A24" s="18" t="s">
        <v>362</v>
      </c>
      <c r="B24" s="327" t="s">
        <v>319</v>
      </c>
      <c r="C24" s="327" t="s">
        <v>377</v>
      </c>
      <c r="D24" s="44">
        <v>0</v>
      </c>
      <c r="E24" s="23"/>
      <c r="F24" s="46">
        <v>0</v>
      </c>
      <c r="G24" s="20"/>
      <c r="H24" s="85">
        <f t="shared" ref="H24:H30" si="6">IF(D24&lt;&gt;0,F24/D24,0)</f>
        <v>0</v>
      </c>
      <c r="I24" s="23"/>
      <c r="J24" s="54">
        <v>1.6624309879114112</v>
      </c>
      <c r="K24" s="23"/>
      <c r="L24" s="46">
        <f t="shared" ref="L24:L29" si="7">F24*J24</f>
        <v>0</v>
      </c>
      <c r="M24" s="23"/>
      <c r="N24" s="83">
        <f t="shared" ref="N24:N30" si="8">IF(D24&lt;&gt;0,L24/D24,0)</f>
        <v>0</v>
      </c>
      <c r="O24" s="4"/>
    </row>
    <row r="25" spans="1:15" ht="12.75" customHeight="1" x14ac:dyDescent="0.25">
      <c r="A25" s="18"/>
      <c r="B25" s="327"/>
      <c r="C25" s="327" t="s">
        <v>378</v>
      </c>
      <c r="D25" s="44">
        <v>18156.471000000001</v>
      </c>
      <c r="E25" s="23"/>
      <c r="F25" s="46">
        <v>1109.4762574262513</v>
      </c>
      <c r="G25" s="20"/>
      <c r="H25" s="85">
        <f t="shared" si="6"/>
        <v>6.1106382260421158E-2</v>
      </c>
      <c r="I25" s="23"/>
      <c r="J25" s="54">
        <v>1.6624309879114112</v>
      </c>
      <c r="K25" s="23"/>
      <c r="L25" s="46">
        <f t="shared" si="7"/>
        <v>1844.4277106973782</v>
      </c>
      <c r="M25" s="23"/>
      <c r="N25" s="83">
        <f t="shared" si="8"/>
        <v>0.10158514342888428</v>
      </c>
      <c r="O25" s="4"/>
    </row>
    <row r="26" spans="1:15" ht="12.75" customHeight="1" x14ac:dyDescent="0.25">
      <c r="A26" s="18"/>
      <c r="B26" s="327"/>
      <c r="C26" s="327" t="s">
        <v>379</v>
      </c>
      <c r="D26" s="44">
        <v>0</v>
      </c>
      <c r="E26" s="23"/>
      <c r="F26" s="46">
        <v>0</v>
      </c>
      <c r="G26" s="20"/>
      <c r="H26" s="85">
        <f t="shared" si="6"/>
        <v>0</v>
      </c>
      <c r="I26" s="23"/>
      <c r="J26" s="54">
        <v>1.6624309879114112</v>
      </c>
      <c r="K26" s="23"/>
      <c r="L26" s="46">
        <f t="shared" si="7"/>
        <v>0</v>
      </c>
      <c r="M26" s="23"/>
      <c r="N26" s="83">
        <f t="shared" si="8"/>
        <v>0</v>
      </c>
      <c r="O26" s="4"/>
    </row>
    <row r="27" spans="1:15" ht="12.75" customHeight="1" x14ac:dyDescent="0.25">
      <c r="A27" s="18"/>
      <c r="B27" s="364" t="s">
        <v>371</v>
      </c>
      <c r="C27" s="364" t="s">
        <v>372</v>
      </c>
      <c r="D27" s="44">
        <v>18156.471000000001</v>
      </c>
      <c r="E27" s="23"/>
      <c r="F27" s="46">
        <v>55.083949318120524</v>
      </c>
      <c r="G27" s="20"/>
      <c r="H27" s="85">
        <f t="shared" si="6"/>
        <v>3.0338466829881489E-3</v>
      </c>
      <c r="I27" s="23"/>
      <c r="J27" s="54">
        <v>1.6624309879114112</v>
      </c>
      <c r="K27" s="23"/>
      <c r="L27" s="46">
        <f t="shared" si="7"/>
        <v>91.573264282985207</v>
      </c>
      <c r="M27" s="23"/>
      <c r="N27" s="83">
        <f t="shared" si="8"/>
        <v>5.0435607383717464E-3</v>
      </c>
      <c r="O27" s="4"/>
    </row>
    <row r="28" spans="1:15" ht="12.75" customHeight="1" x14ac:dyDescent="0.25">
      <c r="A28" s="18"/>
      <c r="B28" s="18" t="s">
        <v>138</v>
      </c>
      <c r="C28" s="327" t="s">
        <v>380</v>
      </c>
      <c r="D28" s="44">
        <v>18156.471000000001</v>
      </c>
      <c r="E28" s="23"/>
      <c r="F28" s="46">
        <v>12064.852200060788</v>
      </c>
      <c r="G28" s="20"/>
      <c r="H28" s="85">
        <f t="shared" si="6"/>
        <v>0.66449323770355961</v>
      </c>
      <c r="I28" s="23"/>
      <c r="J28" s="54">
        <v>1.302844966601308</v>
      </c>
      <c r="K28" s="23"/>
      <c r="L28" s="46">
        <f t="shared" si="7"/>
        <v>15718.631961637915</v>
      </c>
      <c r="M28" s="23"/>
      <c r="N28" s="83">
        <f t="shared" si="8"/>
        <v>0.86573167008268914</v>
      </c>
      <c r="O28" s="4"/>
    </row>
    <row r="29" spans="1:15" ht="12.75" customHeight="1" x14ac:dyDescent="0.25">
      <c r="A29" s="283"/>
      <c r="B29" s="283" t="s">
        <v>138</v>
      </c>
      <c r="C29" s="430" t="s">
        <v>182</v>
      </c>
      <c r="D29" s="434">
        <v>1296.8907857142856</v>
      </c>
      <c r="E29" s="435"/>
      <c r="F29" s="438">
        <v>113.55853444873354</v>
      </c>
      <c r="G29" s="144"/>
      <c r="H29" s="436">
        <f t="shared" si="6"/>
        <v>8.7562141469136254E-2</v>
      </c>
      <c r="I29" s="435"/>
      <c r="J29" s="437">
        <v>1.5249384833271007</v>
      </c>
      <c r="K29" s="435"/>
      <c r="L29" s="438">
        <f t="shared" si="7"/>
        <v>173.16977929110004</v>
      </c>
      <c r="M29" s="435"/>
      <c r="N29" s="172">
        <f t="shared" si="8"/>
        <v>0.13352687920881767</v>
      </c>
      <c r="O29" s="4"/>
    </row>
    <row r="30" spans="1:15" ht="12.75" customHeight="1" x14ac:dyDescent="0.25">
      <c r="A30" s="18"/>
      <c r="B30" s="18"/>
      <c r="C30" s="18"/>
      <c r="D30" s="44">
        <v>18156.471000000001</v>
      </c>
      <c r="E30" s="23"/>
      <c r="F30" s="46">
        <f>SUM(F24:F29)</f>
        <v>13342.970941253894</v>
      </c>
      <c r="G30" s="23"/>
      <c r="H30" s="85">
        <f t="shared" si="6"/>
        <v>0.73488790532333581</v>
      </c>
      <c r="I30" s="23"/>
      <c r="J30" s="23"/>
      <c r="K30" s="23"/>
      <c r="L30" s="46">
        <f>SUM(L23:L29)</f>
        <v>17827.80271590938</v>
      </c>
      <c r="M30" s="23"/>
      <c r="N30" s="83">
        <f t="shared" si="8"/>
        <v>0.98189800847914654</v>
      </c>
      <c r="O30" s="4"/>
    </row>
    <row r="31" spans="1:15" ht="12.75" customHeight="1" x14ac:dyDescent="0.25">
      <c r="A31" s="18"/>
      <c r="B31" s="18"/>
      <c r="C31" s="18"/>
      <c r="D31" s="23"/>
      <c r="E31" s="23"/>
      <c r="F31" s="23"/>
      <c r="G31" s="23"/>
      <c r="H31" s="23"/>
      <c r="I31" s="23"/>
      <c r="J31" s="23"/>
      <c r="K31" s="23"/>
      <c r="L31" s="23"/>
      <c r="M31" s="23"/>
      <c r="N31" s="83"/>
      <c r="O31" s="4"/>
    </row>
    <row r="32" spans="1:15" ht="12.75" customHeight="1" x14ac:dyDescent="0.25">
      <c r="A32" s="18" t="s">
        <v>363</v>
      </c>
      <c r="B32" s="327" t="s">
        <v>319</v>
      </c>
      <c r="C32" s="327" t="s">
        <v>377</v>
      </c>
      <c r="D32" s="44">
        <v>0</v>
      </c>
      <c r="E32" s="23"/>
      <c r="F32" s="46">
        <v>0</v>
      </c>
      <c r="G32" s="20"/>
      <c r="H32" s="85">
        <f t="shared" ref="H32:H38" si="9">IF(D32&lt;&gt;0,F32/D32,0)</f>
        <v>0</v>
      </c>
      <c r="I32" s="23"/>
      <c r="J32" s="54">
        <v>1.6624309879114112</v>
      </c>
      <c r="K32" s="23"/>
      <c r="L32" s="46">
        <f t="shared" ref="L32:L37" si="10">F32*J32</f>
        <v>0</v>
      </c>
      <c r="M32" s="23"/>
      <c r="N32" s="83">
        <f t="shared" ref="N32:N38" si="11">IF(D32&lt;&gt;0,L32/D32,0)</f>
        <v>0</v>
      </c>
      <c r="O32" s="4"/>
    </row>
    <row r="33" spans="1:15" ht="12.75" customHeight="1" x14ac:dyDescent="0.25">
      <c r="A33" s="18"/>
      <c r="B33" s="327"/>
      <c r="C33" s="327" t="s">
        <v>378</v>
      </c>
      <c r="D33" s="44">
        <v>0</v>
      </c>
      <c r="E33" s="23"/>
      <c r="F33" s="46">
        <v>0</v>
      </c>
      <c r="G33" s="20"/>
      <c r="H33" s="85">
        <f t="shared" si="9"/>
        <v>0</v>
      </c>
      <c r="I33" s="23"/>
      <c r="J33" s="54">
        <v>1.6624309879114112</v>
      </c>
      <c r="K33" s="23"/>
      <c r="L33" s="46">
        <f t="shared" si="10"/>
        <v>0</v>
      </c>
      <c r="M33" s="23"/>
      <c r="N33" s="83">
        <f t="shared" si="11"/>
        <v>0</v>
      </c>
      <c r="O33" s="4"/>
    </row>
    <row r="34" spans="1:15" ht="12.75" customHeight="1" x14ac:dyDescent="0.25">
      <c r="A34" s="18"/>
      <c r="B34" s="327"/>
      <c r="C34" s="327" t="s">
        <v>379</v>
      </c>
      <c r="D34" s="44">
        <v>0</v>
      </c>
      <c r="E34" s="23"/>
      <c r="F34" s="46">
        <v>0</v>
      </c>
      <c r="G34" s="20"/>
      <c r="H34" s="85">
        <f t="shared" si="9"/>
        <v>0</v>
      </c>
      <c r="I34" s="23"/>
      <c r="J34" s="54">
        <v>1.6624309879114112</v>
      </c>
      <c r="K34" s="23"/>
      <c r="L34" s="46">
        <f t="shared" si="10"/>
        <v>0</v>
      </c>
      <c r="M34" s="23"/>
      <c r="N34" s="83">
        <f t="shared" si="11"/>
        <v>0</v>
      </c>
      <c r="O34" s="4"/>
    </row>
    <row r="35" spans="1:15" ht="12.75" customHeight="1" x14ac:dyDescent="0.25">
      <c r="A35" s="18"/>
      <c r="B35" s="364" t="s">
        <v>371</v>
      </c>
      <c r="C35" s="364" t="s">
        <v>372</v>
      </c>
      <c r="D35" s="44">
        <v>0</v>
      </c>
      <c r="E35" s="23"/>
      <c r="F35" s="46">
        <v>0</v>
      </c>
      <c r="G35" s="20"/>
      <c r="H35" s="85">
        <f t="shared" si="9"/>
        <v>0</v>
      </c>
      <c r="I35" s="23"/>
      <c r="J35" s="54">
        <v>1.6624309879114112</v>
      </c>
      <c r="K35" s="23"/>
      <c r="L35" s="46">
        <f t="shared" si="10"/>
        <v>0</v>
      </c>
      <c r="M35" s="23"/>
      <c r="N35" s="83">
        <f t="shared" si="11"/>
        <v>0</v>
      </c>
      <c r="O35" s="4"/>
    </row>
    <row r="36" spans="1:15" ht="12.75" customHeight="1" x14ac:dyDescent="0.25">
      <c r="A36" s="18"/>
      <c r="B36" s="18" t="s">
        <v>138</v>
      </c>
      <c r="C36" s="327" t="s">
        <v>380</v>
      </c>
      <c r="D36" s="44">
        <v>0</v>
      </c>
      <c r="E36" s="23"/>
      <c r="F36" s="46">
        <v>0</v>
      </c>
      <c r="G36" s="20"/>
      <c r="H36" s="85">
        <f t="shared" si="9"/>
        <v>0</v>
      </c>
      <c r="I36" s="23"/>
      <c r="J36" s="54">
        <v>1.302844966601308</v>
      </c>
      <c r="K36" s="23"/>
      <c r="L36" s="46">
        <f t="shared" si="10"/>
        <v>0</v>
      </c>
      <c r="M36" s="23"/>
      <c r="N36" s="83">
        <f t="shared" si="11"/>
        <v>0</v>
      </c>
      <c r="O36" s="4"/>
    </row>
    <row r="37" spans="1:15" ht="12.75" customHeight="1" x14ac:dyDescent="0.25">
      <c r="A37" s="283"/>
      <c r="B37" s="283" t="s">
        <v>138</v>
      </c>
      <c r="C37" s="430" t="s">
        <v>182</v>
      </c>
      <c r="D37" s="434">
        <v>0</v>
      </c>
      <c r="E37" s="435"/>
      <c r="F37" s="438">
        <v>0</v>
      </c>
      <c r="G37" s="144"/>
      <c r="H37" s="436">
        <f t="shared" si="9"/>
        <v>0</v>
      </c>
      <c r="I37" s="435"/>
      <c r="J37" s="437">
        <v>1.5249384833271007</v>
      </c>
      <c r="K37" s="435"/>
      <c r="L37" s="438">
        <f t="shared" si="10"/>
        <v>0</v>
      </c>
      <c r="M37" s="435"/>
      <c r="N37" s="172">
        <f t="shared" si="11"/>
        <v>0</v>
      </c>
      <c r="O37" s="4"/>
    </row>
    <row r="38" spans="1:15" ht="12.75" customHeight="1" x14ac:dyDescent="0.25">
      <c r="A38" s="16"/>
      <c r="B38" s="23"/>
      <c r="C38" s="23"/>
      <c r="D38" s="44">
        <v>0</v>
      </c>
      <c r="E38" s="23"/>
      <c r="F38" s="46">
        <f>SUM(F32:F37)</f>
        <v>0</v>
      </c>
      <c r="G38" s="23"/>
      <c r="H38" s="85">
        <f t="shared" si="9"/>
        <v>0</v>
      </c>
      <c r="I38" s="23"/>
      <c r="J38" s="23"/>
      <c r="K38" s="23"/>
      <c r="L38" s="46">
        <f>SUM(L31:L37)</f>
        <v>0</v>
      </c>
      <c r="M38" s="23"/>
      <c r="N38" s="83">
        <f t="shared" si="11"/>
        <v>0</v>
      </c>
      <c r="O38" s="4"/>
    </row>
    <row r="39" spans="1:15" ht="5.0999999999999996" customHeight="1" x14ac:dyDescent="0.25">
      <c r="A39" s="16"/>
      <c r="B39" s="23"/>
      <c r="C39" s="23"/>
      <c r="D39" s="44"/>
      <c r="E39" s="23"/>
      <c r="F39" s="42"/>
      <c r="G39" s="23"/>
      <c r="H39" s="85"/>
      <c r="I39" s="23"/>
      <c r="J39" s="23"/>
      <c r="K39" s="23"/>
      <c r="L39" s="23"/>
      <c r="M39" s="23"/>
      <c r="N39" s="83"/>
      <c r="O39" s="4"/>
    </row>
    <row r="40" spans="1:15" ht="12.75" customHeight="1" x14ac:dyDescent="0.25">
      <c r="A40" s="16"/>
      <c r="B40" s="23"/>
      <c r="C40" s="334" t="s">
        <v>365</v>
      </c>
      <c r="D40" s="44">
        <f>SUM(D13,D22,D30,D38)</f>
        <v>33160.127</v>
      </c>
      <c r="E40" s="23"/>
      <c r="F40" s="42">
        <f>SUM(F13,F22,F30,F38)</f>
        <v>26769.194619765993</v>
      </c>
      <c r="G40" s="23"/>
      <c r="H40" s="85">
        <f>IF(D40&lt;&gt;0,F40/D40,0)</f>
        <v>0.8072705698553565</v>
      </c>
      <c r="I40" s="23"/>
      <c r="J40" s="23"/>
      <c r="K40" s="23"/>
      <c r="L40" s="42">
        <f>SUM(L13,L22,L30,L38)</f>
        <v>35782.446023773082</v>
      </c>
      <c r="M40" s="23"/>
      <c r="N40" s="83">
        <f>IF(D40&lt;&gt;0,L40/D40,0)</f>
        <v>1.0790804879538936</v>
      </c>
      <c r="O40" s="4"/>
    </row>
    <row r="41" spans="1:15" ht="12.75" customHeight="1" x14ac:dyDescent="0.25">
      <c r="A41" s="16"/>
      <c r="B41" s="23"/>
      <c r="C41" s="334"/>
      <c r="D41" s="44"/>
      <c r="E41" s="23"/>
      <c r="F41" s="42"/>
      <c r="G41" s="23"/>
      <c r="H41" s="85"/>
      <c r="I41" s="23"/>
      <c r="J41" s="23"/>
      <c r="K41" s="23"/>
      <c r="L41" s="42"/>
      <c r="M41" s="23"/>
      <c r="N41" s="83"/>
      <c r="O41" s="4"/>
    </row>
    <row r="42" spans="1:15" ht="15.75" customHeight="1" x14ac:dyDescent="0.3">
      <c r="A42" s="158" t="s">
        <v>89</v>
      </c>
      <c r="B42" s="23"/>
      <c r="C42" s="334"/>
      <c r="D42" s="44"/>
      <c r="E42" s="23"/>
      <c r="F42" s="42"/>
      <c r="G42" s="23"/>
      <c r="H42" s="85"/>
      <c r="I42" s="23"/>
      <c r="J42" s="23"/>
      <c r="K42" s="23"/>
      <c r="L42" s="42"/>
      <c r="M42" s="23"/>
      <c r="N42" s="83"/>
      <c r="O42" s="4"/>
    </row>
    <row r="43" spans="1:15" ht="15.75" customHeight="1" x14ac:dyDescent="0.3">
      <c r="A43" s="158" t="s">
        <v>787</v>
      </c>
      <c r="B43" s="23"/>
      <c r="C43" s="334"/>
      <c r="D43" s="44"/>
      <c r="E43" s="23"/>
      <c r="F43" s="42"/>
      <c r="G43" s="23"/>
      <c r="H43" s="85"/>
      <c r="I43" s="23"/>
      <c r="J43" s="23"/>
      <c r="K43" s="23"/>
      <c r="L43" s="42"/>
      <c r="M43" s="23"/>
      <c r="N43" s="83"/>
      <c r="O43" s="4"/>
    </row>
    <row r="44" spans="1:15" ht="5.0999999999999996" customHeight="1" x14ac:dyDescent="0.25">
      <c r="A44" s="16"/>
      <c r="B44" s="23"/>
      <c r="C44" s="334"/>
      <c r="D44" s="44"/>
      <c r="E44" s="23"/>
      <c r="F44" s="42"/>
      <c r="G44" s="23"/>
      <c r="H44" s="85"/>
      <c r="I44" s="23"/>
      <c r="J44" s="23"/>
      <c r="K44" s="23"/>
      <c r="L44" s="42"/>
      <c r="M44" s="23"/>
      <c r="N44" s="83"/>
      <c r="O44" s="4"/>
    </row>
    <row r="45" spans="1:15" ht="12.75" customHeight="1" x14ac:dyDescent="0.25">
      <c r="A45" s="19" t="s">
        <v>366</v>
      </c>
      <c r="B45" s="23"/>
      <c r="C45" s="334"/>
      <c r="D45" s="44"/>
      <c r="E45" s="23"/>
      <c r="F45" s="42"/>
      <c r="G45" s="23"/>
      <c r="H45" s="85"/>
      <c r="I45" s="23"/>
      <c r="J45" s="23"/>
      <c r="K45" s="23"/>
      <c r="L45" s="42"/>
      <c r="M45" s="23"/>
      <c r="N45" s="83"/>
      <c r="O45" s="4"/>
    </row>
    <row r="46" spans="1:15" ht="25.5" customHeight="1" x14ac:dyDescent="0.25">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x14ac:dyDescent="0.25">
      <c r="A47" s="18" t="s">
        <v>367</v>
      </c>
      <c r="B47" s="18" t="s">
        <v>138</v>
      </c>
      <c r="C47" s="327" t="s">
        <v>361</v>
      </c>
      <c r="D47" s="44">
        <v>11597.405060226796</v>
      </c>
      <c r="E47" s="23"/>
      <c r="F47" s="46">
        <v>6165.1177899438017</v>
      </c>
      <c r="G47" s="23"/>
      <c r="H47" s="85">
        <f t="shared" ref="H47:H55" si="12">IF(D47&lt;&gt;0,F47/D47,0)</f>
        <v>0.53159459016284782</v>
      </c>
      <c r="I47" s="23"/>
      <c r="J47" s="54">
        <v>1.302844966601308</v>
      </c>
      <c r="K47" s="23"/>
      <c r="L47" s="46">
        <f t="shared" ref="L47:L54" si="13">F47*J47</f>
        <v>8032.192681132462</v>
      </c>
      <c r="M47" s="23"/>
      <c r="N47" s="83">
        <f t="shared" ref="N47:N55" si="14">IF(D47&lt;&gt;0,L47/D47,0)</f>
        <v>0.69258533606615158</v>
      </c>
      <c r="O47" s="4"/>
    </row>
    <row r="48" spans="1:15" ht="12.75" customHeight="1" x14ac:dyDescent="0.25">
      <c r="A48" s="18"/>
      <c r="B48" s="364" t="s">
        <v>371</v>
      </c>
      <c r="C48" s="364" t="s">
        <v>372</v>
      </c>
      <c r="D48" s="44">
        <v>11597.405060226796</v>
      </c>
      <c r="E48" s="23"/>
      <c r="F48" s="46">
        <v>492.58648422534651</v>
      </c>
      <c r="G48" s="23"/>
      <c r="H48" s="85">
        <f t="shared" si="12"/>
        <v>4.2473853561834085E-2</v>
      </c>
      <c r="I48" s="23"/>
      <c r="J48" s="54">
        <v>1.6624309879114112</v>
      </c>
      <c r="K48" s="23"/>
      <c r="L48" s="46">
        <f t="shared" si="13"/>
        <v>818.8910356025516</v>
      </c>
      <c r="M48" s="23"/>
      <c r="N48" s="83">
        <f t="shared" si="14"/>
        <v>7.0609850337204447E-2</v>
      </c>
      <c r="O48" s="4"/>
    </row>
    <row r="49" spans="1:15" ht="12.75" customHeight="1" x14ac:dyDescent="0.25">
      <c r="A49" s="18"/>
      <c r="B49" s="327" t="s">
        <v>319</v>
      </c>
      <c r="C49" s="327" t="s">
        <v>377</v>
      </c>
      <c r="D49" s="44">
        <v>11597.405060226796</v>
      </c>
      <c r="E49" s="23"/>
      <c r="F49" s="46">
        <v>209.97791610049225</v>
      </c>
      <c r="G49" s="23"/>
      <c r="H49" s="85">
        <f t="shared" si="12"/>
        <v>1.8105594743828494E-2</v>
      </c>
      <c r="I49" s="23"/>
      <c r="J49" s="54">
        <v>1.6624309879114112</v>
      </c>
      <c r="K49" s="23"/>
      <c r="L49" s="46">
        <f t="shared" si="13"/>
        <v>349.07379450252074</v>
      </c>
      <c r="M49" s="23"/>
      <c r="N49" s="83">
        <f t="shared" si="14"/>
        <v>3.0099301756706456E-2</v>
      </c>
      <c r="O49" s="4"/>
    </row>
    <row r="50" spans="1:15" ht="12.75" customHeight="1" x14ac:dyDescent="0.25">
      <c r="A50" s="18"/>
      <c r="B50" s="327"/>
      <c r="C50" s="327" t="s">
        <v>378</v>
      </c>
      <c r="D50" s="44">
        <v>11597.405060226796</v>
      </c>
      <c r="E50" s="23"/>
      <c r="F50" s="46">
        <v>708.67546683916134</v>
      </c>
      <c r="G50" s="23"/>
      <c r="H50" s="85">
        <f t="shared" si="12"/>
        <v>6.1106382260421165E-2</v>
      </c>
      <c r="I50" s="23"/>
      <c r="J50" s="54">
        <v>1.6624309879114112</v>
      </c>
      <c r="K50" s="23"/>
      <c r="L50" s="46">
        <f t="shared" si="13"/>
        <v>1178.1240564460074</v>
      </c>
      <c r="M50" s="23"/>
      <c r="N50" s="83">
        <f t="shared" si="14"/>
        <v>0.10158514342888428</v>
      </c>
      <c r="O50" s="4"/>
    </row>
    <row r="51" spans="1:15" ht="12.75" customHeight="1" x14ac:dyDescent="0.25">
      <c r="A51" s="18"/>
      <c r="B51" s="327"/>
      <c r="C51" s="327" t="s">
        <v>379</v>
      </c>
      <c r="D51" s="44">
        <v>50.131348846032139</v>
      </c>
      <c r="E51" s="23"/>
      <c r="F51" s="46">
        <v>22.808523338683095</v>
      </c>
      <c r="G51" s="23"/>
      <c r="H51" s="85">
        <f t="shared" si="12"/>
        <v>0.45497525727334132</v>
      </c>
      <c r="I51" s="23"/>
      <c r="J51" s="54">
        <v>1.6624309879114112</v>
      </c>
      <c r="K51" s="23"/>
      <c r="L51" s="46">
        <f t="shared" si="13"/>
        <v>37.917595986727413</v>
      </c>
      <c r="M51" s="23"/>
      <c r="N51" s="83">
        <f t="shared" si="14"/>
        <v>0.75636496642416917</v>
      </c>
      <c r="O51" s="4"/>
    </row>
    <row r="52" spans="1:15" ht="12.75" customHeight="1" x14ac:dyDescent="0.25">
      <c r="A52" s="18"/>
      <c r="B52" s="364" t="s">
        <v>371</v>
      </c>
      <c r="C52" s="364" t="s">
        <v>372</v>
      </c>
      <c r="D52" s="44">
        <v>11597.405060226796</v>
      </c>
      <c r="E52" s="23"/>
      <c r="F52" s="46">
        <v>35.184748873239045</v>
      </c>
      <c r="G52" s="23"/>
      <c r="H52" s="85">
        <f t="shared" si="12"/>
        <v>3.0338466829881493E-3</v>
      </c>
      <c r="I52" s="23"/>
      <c r="J52" s="54">
        <v>1.6624309879114112</v>
      </c>
      <c r="K52" s="23"/>
      <c r="L52" s="46">
        <f t="shared" si="13"/>
        <v>58.492216828753698</v>
      </c>
      <c r="M52" s="23"/>
      <c r="N52" s="83">
        <f t="shared" si="14"/>
        <v>5.0435607383717473E-3</v>
      </c>
      <c r="O52" s="4"/>
    </row>
    <row r="53" spans="1:15" ht="12.75" customHeight="1" x14ac:dyDescent="0.25">
      <c r="A53" s="18"/>
      <c r="B53" s="18" t="s">
        <v>138</v>
      </c>
      <c r="C53" s="327" t="s">
        <v>380</v>
      </c>
      <c r="D53" s="44">
        <v>11597.405060226796</v>
      </c>
      <c r="E53" s="23"/>
      <c r="F53" s="46">
        <v>7706.3972374297509</v>
      </c>
      <c r="G53" s="23"/>
      <c r="H53" s="85">
        <f t="shared" si="12"/>
        <v>0.66449323770355972</v>
      </c>
      <c r="I53" s="23"/>
      <c r="J53" s="54">
        <v>1.302844966601308</v>
      </c>
      <c r="K53" s="23"/>
      <c r="L53" s="46">
        <f t="shared" si="13"/>
        <v>10040.240851415576</v>
      </c>
      <c r="M53" s="23"/>
      <c r="N53" s="83">
        <f t="shared" si="14"/>
        <v>0.86573167008268925</v>
      </c>
      <c r="O53" s="4"/>
    </row>
    <row r="54" spans="1:15" ht="12.75" customHeight="1" x14ac:dyDescent="0.25">
      <c r="A54" s="283"/>
      <c r="B54" s="283" t="s">
        <v>138</v>
      </c>
      <c r="C54" s="430" t="s">
        <v>182</v>
      </c>
      <c r="D54" s="434">
        <v>828.38607573048546</v>
      </c>
      <c r="E54" s="435"/>
      <c r="F54" s="438">
        <v>72.535258754175373</v>
      </c>
      <c r="G54" s="435"/>
      <c r="H54" s="436">
        <f t="shared" si="12"/>
        <v>8.756214146913624E-2</v>
      </c>
      <c r="I54" s="435"/>
      <c r="J54" s="437">
        <v>1.5249384833271007</v>
      </c>
      <c r="K54" s="435"/>
      <c r="L54" s="438">
        <f t="shared" si="13"/>
        <v>110.61180747233099</v>
      </c>
      <c r="M54" s="435"/>
      <c r="N54" s="172">
        <f t="shared" si="14"/>
        <v>0.13352687920881764</v>
      </c>
      <c r="O54" s="4"/>
    </row>
    <row r="55" spans="1:15" ht="12.75" customHeight="1" x14ac:dyDescent="0.25">
      <c r="A55" s="18"/>
      <c r="B55" s="18"/>
      <c r="C55" s="18"/>
      <c r="D55" s="44">
        <v>11597.405060226796</v>
      </c>
      <c r="E55" s="23"/>
      <c r="F55" s="42">
        <f>SUM(F47:F54)</f>
        <v>15413.283425504651</v>
      </c>
      <c r="G55" s="23"/>
      <c r="H55" s="85">
        <f t="shared" si="12"/>
        <v>1.3290286357561467</v>
      </c>
      <c r="I55" s="23"/>
      <c r="J55" s="23"/>
      <c r="K55" s="23"/>
      <c r="L55" s="42">
        <f>SUM(L47:L54)</f>
        <v>20625.544039386932</v>
      </c>
      <c r="M55" s="23"/>
      <c r="N55" s="83">
        <f t="shared" si="14"/>
        <v>1.7784619863043383</v>
      </c>
      <c r="O55" s="4"/>
    </row>
    <row r="56" spans="1:15" ht="12.75" customHeight="1" x14ac:dyDescent="0.25">
      <c r="A56" s="18"/>
      <c r="B56" s="18"/>
      <c r="C56" s="18"/>
      <c r="D56" s="44"/>
      <c r="E56" s="23"/>
      <c r="F56" s="42"/>
      <c r="G56" s="23"/>
      <c r="H56" s="85"/>
      <c r="I56" s="23"/>
      <c r="J56" s="23"/>
      <c r="K56" s="23"/>
      <c r="L56" s="42"/>
      <c r="M56" s="23"/>
      <c r="N56" s="83"/>
      <c r="O56" s="4"/>
    </row>
    <row r="57" spans="1:15" ht="12.75" customHeight="1" x14ac:dyDescent="0.25">
      <c r="A57" s="327" t="s">
        <v>368</v>
      </c>
      <c r="B57" s="18" t="s">
        <v>138</v>
      </c>
      <c r="C57" s="327" t="s">
        <v>361</v>
      </c>
      <c r="D57" s="44">
        <v>1151.3465116188777</v>
      </c>
      <c r="E57" s="23"/>
      <c r="F57" s="46">
        <v>612.04957697946168</v>
      </c>
      <c r="G57" s="23"/>
      <c r="H57" s="85">
        <f t="shared" ref="H57:H65" si="15">IF(D57&lt;&gt;0,F57/D57,0)</f>
        <v>0.53159459016284771</v>
      </c>
      <c r="I57" s="23"/>
      <c r="J57" s="54">
        <v>1.302844966601308</v>
      </c>
      <c r="K57" s="23"/>
      <c r="L57" s="46">
        <f t="shared" ref="L57:L64" si="16">F57*J57</f>
        <v>797.40571067815142</v>
      </c>
      <c r="M57" s="23"/>
      <c r="N57" s="83">
        <f t="shared" ref="N57:N65" si="17">IF(D57&lt;&gt;0,L57/D57,0)</f>
        <v>0.69258533606615136</v>
      </c>
      <c r="O57" s="4"/>
    </row>
    <row r="58" spans="1:15" ht="12.75" customHeight="1" x14ac:dyDescent="0.25">
      <c r="A58" s="327"/>
      <c r="B58" s="364" t="s">
        <v>371</v>
      </c>
      <c r="C58" s="364" t="s">
        <v>372</v>
      </c>
      <c r="D58" s="44">
        <v>1151.3465116188777</v>
      </c>
      <c r="E58" s="23"/>
      <c r="F58" s="46">
        <v>48.902123133428724</v>
      </c>
      <c r="G58" s="23"/>
      <c r="H58" s="85">
        <f t="shared" si="15"/>
        <v>4.2473853561834092E-2</v>
      </c>
      <c r="I58" s="23"/>
      <c r="J58" s="54">
        <v>1.6624309879114112</v>
      </c>
      <c r="K58" s="23"/>
      <c r="L58" s="46">
        <f t="shared" si="16"/>
        <v>81.296404871671385</v>
      </c>
      <c r="M58" s="23"/>
      <c r="N58" s="83">
        <f t="shared" si="17"/>
        <v>7.0609850337204461E-2</v>
      </c>
      <c r="O58" s="4"/>
    </row>
    <row r="59" spans="1:15" ht="12.75" customHeight="1" x14ac:dyDescent="0.25">
      <c r="A59" s="18"/>
      <c r="B59" s="327" t="s">
        <v>319</v>
      </c>
      <c r="C59" s="327" t="s">
        <v>377</v>
      </c>
      <c r="D59" s="44">
        <v>1151.3465116188777</v>
      </c>
      <c r="E59" s="23"/>
      <c r="F59" s="46">
        <v>20.845813349092023</v>
      </c>
      <c r="G59" s="23"/>
      <c r="H59" s="85">
        <f t="shared" si="15"/>
        <v>1.8105594743828494E-2</v>
      </c>
      <c r="I59" s="23"/>
      <c r="J59" s="54">
        <v>1.6624309879114112</v>
      </c>
      <c r="K59" s="23"/>
      <c r="L59" s="46">
        <f t="shared" si="16"/>
        <v>34.654726079747931</v>
      </c>
      <c r="M59" s="23"/>
      <c r="N59" s="83">
        <f t="shared" si="17"/>
        <v>3.0099301756706453E-2</v>
      </c>
      <c r="O59" s="4"/>
    </row>
    <row r="60" spans="1:15" ht="12.75" customHeight="1" x14ac:dyDescent="0.25">
      <c r="A60" s="18"/>
      <c r="B60" s="327"/>
      <c r="C60" s="327" t="s">
        <v>378</v>
      </c>
      <c r="D60" s="44">
        <v>1151.3465116188777</v>
      </c>
      <c r="E60" s="23"/>
      <c r="F60" s="46">
        <v>70.354620053185585</v>
      </c>
      <c r="G60" s="23"/>
      <c r="H60" s="85">
        <f t="shared" si="15"/>
        <v>6.1106382260421171E-2</v>
      </c>
      <c r="I60" s="23"/>
      <c r="J60" s="54">
        <v>1.6624309879114112</v>
      </c>
      <c r="K60" s="23"/>
      <c r="L60" s="46">
        <f t="shared" si="16"/>
        <v>116.95970051914929</v>
      </c>
      <c r="M60" s="23"/>
      <c r="N60" s="83">
        <f t="shared" si="17"/>
        <v>0.10158514342888431</v>
      </c>
      <c r="O60" s="4"/>
    </row>
    <row r="61" spans="1:15" ht="12.75" customHeight="1" x14ac:dyDescent="0.25">
      <c r="A61" s="18"/>
      <c r="B61" s="327"/>
      <c r="C61" s="327" t="s">
        <v>379</v>
      </c>
      <c r="D61" s="44">
        <v>4.9768507107312701</v>
      </c>
      <c r="E61" s="23"/>
      <c r="F61" s="46">
        <v>2.2643439325259713</v>
      </c>
      <c r="G61" s="23"/>
      <c r="H61" s="85">
        <f t="shared" si="15"/>
        <v>0.45497525727334137</v>
      </c>
      <c r="I61" s="23"/>
      <c r="J61" s="54">
        <v>1.6624309879114112</v>
      </c>
      <c r="K61" s="23"/>
      <c r="L61" s="46">
        <f t="shared" si="16"/>
        <v>3.7643155207203605</v>
      </c>
      <c r="M61" s="23"/>
      <c r="N61" s="83">
        <f t="shared" si="17"/>
        <v>0.75636496642416939</v>
      </c>
      <c r="O61" s="4"/>
    </row>
    <row r="62" spans="1:15" ht="12.75" customHeight="1" x14ac:dyDescent="0.25">
      <c r="A62" s="18"/>
      <c r="B62" s="364" t="s">
        <v>371</v>
      </c>
      <c r="C62" s="364" t="s">
        <v>372</v>
      </c>
      <c r="D62" s="44">
        <v>1151.3465116188777</v>
      </c>
      <c r="E62" s="23"/>
      <c r="F62" s="46">
        <v>3.4930087952449087</v>
      </c>
      <c r="G62" s="23"/>
      <c r="H62" s="85">
        <f t="shared" si="15"/>
        <v>3.0338466829881493E-3</v>
      </c>
      <c r="I62" s="23"/>
      <c r="J62" s="54">
        <v>1.6624309879114112</v>
      </c>
      <c r="K62" s="23"/>
      <c r="L62" s="46">
        <f t="shared" si="16"/>
        <v>5.806886062262242</v>
      </c>
      <c r="M62" s="23"/>
      <c r="N62" s="83">
        <f t="shared" si="17"/>
        <v>5.0435607383717473E-3</v>
      </c>
      <c r="O62" s="4"/>
    </row>
    <row r="63" spans="1:15" ht="12.75" customHeight="1" x14ac:dyDescent="0.25">
      <c r="A63" s="18"/>
      <c r="B63" s="18" t="s">
        <v>138</v>
      </c>
      <c r="C63" s="327" t="s">
        <v>380</v>
      </c>
      <c r="D63" s="44">
        <v>1151.3465116188777</v>
      </c>
      <c r="E63" s="23"/>
      <c r="F63" s="46">
        <v>765.06197122432707</v>
      </c>
      <c r="G63" s="23"/>
      <c r="H63" s="85">
        <f t="shared" si="15"/>
        <v>0.66449323770355961</v>
      </c>
      <c r="I63" s="23"/>
      <c r="J63" s="54">
        <v>1.302844966601308</v>
      </c>
      <c r="K63" s="23"/>
      <c r="L63" s="46">
        <f t="shared" si="16"/>
        <v>996.75713834768931</v>
      </c>
      <c r="M63" s="23"/>
      <c r="N63" s="83">
        <f t="shared" si="17"/>
        <v>0.86573167008268925</v>
      </c>
      <c r="O63" s="4"/>
    </row>
    <row r="64" spans="1:15" ht="12.75" customHeight="1" x14ac:dyDescent="0.25">
      <c r="A64" s="283"/>
      <c r="B64" s="283" t="s">
        <v>138</v>
      </c>
      <c r="C64" s="430" t="s">
        <v>182</v>
      </c>
      <c r="D64" s="434">
        <v>82.239036544205547</v>
      </c>
      <c r="E64" s="435"/>
      <c r="F64" s="438">
        <v>7.2010261521691916</v>
      </c>
      <c r="G64" s="435"/>
      <c r="H64" s="436">
        <f t="shared" si="15"/>
        <v>8.756214146913624E-2</v>
      </c>
      <c r="I64" s="435"/>
      <c r="J64" s="437">
        <v>1.5249384833271007</v>
      </c>
      <c r="K64" s="435"/>
      <c r="L64" s="438">
        <f t="shared" si="16"/>
        <v>10.981121898887675</v>
      </c>
      <c r="M64" s="435"/>
      <c r="N64" s="172">
        <f t="shared" si="17"/>
        <v>0.13352687920881767</v>
      </c>
      <c r="O64" s="4"/>
    </row>
    <row r="65" spans="1:15" ht="12.75" customHeight="1" x14ac:dyDescent="0.25">
      <c r="A65" s="16"/>
      <c r="B65" s="23"/>
      <c r="C65" s="334"/>
      <c r="D65" s="44">
        <v>1151.3465116188777</v>
      </c>
      <c r="E65" s="23"/>
      <c r="F65" s="42">
        <f>SUM(F57:F64)</f>
        <v>1530.1724836194353</v>
      </c>
      <c r="G65" s="23"/>
      <c r="H65" s="85">
        <f t="shared" si="15"/>
        <v>1.3290286357561465</v>
      </c>
      <c r="I65" s="23"/>
      <c r="J65" s="23"/>
      <c r="K65" s="23"/>
      <c r="L65" s="42">
        <f>SUM(L57:L64)</f>
        <v>2047.6260039782796</v>
      </c>
      <c r="M65" s="23"/>
      <c r="N65" s="83">
        <f t="shared" si="17"/>
        <v>1.7784619863043378</v>
      </c>
      <c r="O65" s="4"/>
    </row>
    <row r="66" spans="1:15" ht="5.0999999999999996" customHeight="1" x14ac:dyDescent="0.25">
      <c r="A66" s="16"/>
      <c r="B66" s="23"/>
      <c r="C66" s="23"/>
      <c r="D66" s="23"/>
      <c r="E66" s="23"/>
      <c r="F66" s="23"/>
      <c r="G66" s="23"/>
      <c r="H66" s="23"/>
      <c r="I66" s="23"/>
      <c r="J66" s="23"/>
      <c r="K66" s="23"/>
      <c r="L66" s="23"/>
      <c r="M66" s="23"/>
      <c r="N66" s="83"/>
      <c r="O66" s="4"/>
    </row>
    <row r="67" spans="1:15" ht="12.75" customHeight="1" x14ac:dyDescent="0.25">
      <c r="A67" s="16"/>
      <c r="B67" s="23"/>
      <c r="C67" s="23" t="s">
        <v>369</v>
      </c>
      <c r="D67" s="44">
        <f>SUM(D55,D65)</f>
        <v>12748.751571845674</v>
      </c>
      <c r="E67" s="23"/>
      <c r="F67" s="46">
        <f>SUM(F55,F65)</f>
        <v>16943.455909124088</v>
      </c>
      <c r="G67" s="23"/>
      <c r="H67" s="85">
        <f>IF(D67&lt;&gt;0,F67/D67,0)</f>
        <v>1.3290286357561467</v>
      </c>
      <c r="I67" s="23"/>
      <c r="J67" s="23"/>
      <c r="K67" s="23"/>
      <c r="L67" s="46">
        <f>SUM(L55,L65)</f>
        <v>22673.170043365211</v>
      </c>
      <c r="M67" s="23"/>
      <c r="N67" s="83">
        <f>IF(D67&lt;&gt;0,L67/D67,0)</f>
        <v>1.7784619863043383</v>
      </c>
      <c r="O67" s="4"/>
    </row>
    <row r="68" spans="1:15" ht="12.75" customHeight="1" x14ac:dyDescent="0.25">
      <c r="A68" s="16"/>
      <c r="B68" s="23"/>
      <c r="C68" s="23"/>
      <c r="D68" s="44"/>
      <c r="E68" s="23"/>
      <c r="F68" s="46"/>
      <c r="G68" s="23"/>
      <c r="H68" s="85"/>
      <c r="I68" s="23"/>
      <c r="J68" s="23"/>
      <c r="K68" s="23"/>
      <c r="L68" s="46"/>
      <c r="M68" s="23"/>
      <c r="N68" s="83"/>
      <c r="O68" s="4"/>
    </row>
    <row r="69" spans="1:15" ht="15.75" customHeight="1" x14ac:dyDescent="0.3">
      <c r="A69" s="158" t="s">
        <v>90</v>
      </c>
      <c r="B69" s="23"/>
      <c r="C69" s="23"/>
      <c r="D69" s="44"/>
      <c r="E69" s="23"/>
      <c r="F69" s="46"/>
      <c r="G69" s="23"/>
      <c r="H69" s="85"/>
      <c r="I69" s="23"/>
      <c r="J69" s="23"/>
      <c r="K69" s="23"/>
      <c r="L69" s="46"/>
      <c r="M69" s="23"/>
      <c r="N69" s="83"/>
      <c r="O69" s="4"/>
    </row>
    <row r="70" spans="1:15" ht="15.75" customHeight="1" x14ac:dyDescent="0.3">
      <c r="A70" s="158" t="s">
        <v>787</v>
      </c>
      <c r="B70" s="23"/>
      <c r="C70" s="23"/>
      <c r="D70" s="44"/>
      <c r="E70" s="23"/>
      <c r="F70" s="46"/>
      <c r="G70" s="23"/>
      <c r="H70" s="85"/>
      <c r="I70" s="23"/>
      <c r="J70" s="23"/>
      <c r="K70" s="23"/>
      <c r="L70" s="46"/>
      <c r="M70" s="23"/>
      <c r="N70" s="83"/>
      <c r="O70" s="4"/>
    </row>
    <row r="71" spans="1:15" ht="5.0999999999999996" customHeight="1" x14ac:dyDescent="0.25">
      <c r="A71" s="16"/>
      <c r="B71" s="23"/>
      <c r="C71" s="23"/>
      <c r="D71" s="23"/>
      <c r="E71" s="23"/>
      <c r="F71" s="23"/>
      <c r="G71" s="23"/>
      <c r="H71" s="23"/>
      <c r="I71" s="23"/>
      <c r="J71" s="23"/>
      <c r="K71" s="23"/>
      <c r="L71" s="23"/>
      <c r="M71" s="23"/>
      <c r="N71" s="83"/>
      <c r="O71" s="4"/>
    </row>
    <row r="72" spans="1:15" ht="12.75" customHeight="1" x14ac:dyDescent="0.25">
      <c r="A72" s="91" t="s">
        <v>536</v>
      </c>
      <c r="B72" s="23"/>
      <c r="C72" s="334"/>
      <c r="D72" s="44"/>
      <c r="E72" s="23"/>
      <c r="F72" s="42"/>
      <c r="G72" s="23"/>
      <c r="H72" s="85"/>
      <c r="I72" s="23"/>
      <c r="J72" s="23"/>
      <c r="K72" s="23"/>
      <c r="L72" s="42"/>
      <c r="M72" s="23"/>
      <c r="N72" s="83"/>
      <c r="O72" s="4"/>
    </row>
    <row r="73" spans="1:15" ht="25.5" customHeight="1" x14ac:dyDescent="0.25">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x14ac:dyDescent="0.25">
      <c r="A74" s="11" t="s">
        <v>425</v>
      </c>
      <c r="B74" s="2" t="s">
        <v>530</v>
      </c>
      <c r="C74" s="188" t="s">
        <v>535</v>
      </c>
      <c r="D74" s="44">
        <f>'Table 3.26-REC Detail NonACS'!E43</f>
        <v>33160.127</v>
      </c>
      <c r="E74" s="20" t="s">
        <v>239</v>
      </c>
      <c r="F74" s="46">
        <f>'Table 3.26-REC Detail NonACS'!F43</f>
        <v>11590.606497111128</v>
      </c>
      <c r="G74" s="20" t="s">
        <v>239</v>
      </c>
      <c r="H74" s="85">
        <f>IF(D74&lt;&gt;0,F74/D74,0)</f>
        <v>0.34953444228700115</v>
      </c>
      <c r="I74" s="23"/>
      <c r="J74" s="228">
        <f>'Table 3.26-REC Detail NonACS'!I43</f>
        <v>1.349903413436558</v>
      </c>
      <c r="K74" s="23"/>
      <c r="L74" s="46">
        <f>F74*J74</f>
        <v>15646.199274250259</v>
      </c>
      <c r="M74" s="23"/>
      <c r="N74" s="83">
        <f>IF(D74&lt;&gt;0,L74/D74,0)</f>
        <v>0.47183773675686641</v>
      </c>
      <c r="O74" s="4"/>
    </row>
    <row r="75" spans="1:15" ht="12.75" customHeight="1" x14ac:dyDescent="0.25">
      <c r="A75" s="11" t="s">
        <v>426</v>
      </c>
      <c r="B75" s="2" t="s">
        <v>530</v>
      </c>
      <c r="C75" s="188" t="s">
        <v>535</v>
      </c>
      <c r="D75" s="44">
        <f>'Table 3.26-REC Detail NonACS'!E44</f>
        <v>12748.751571845673</v>
      </c>
      <c r="E75" s="20" t="s">
        <v>239</v>
      </c>
      <c r="F75" s="46">
        <f>'Table 3.26-REC Detail NonACS'!F44</f>
        <v>4456.1277705206066</v>
      </c>
      <c r="G75" s="20" t="s">
        <v>239</v>
      </c>
      <c r="H75" s="85">
        <f>IF(D75&lt;&gt;0,F75/D75,0)</f>
        <v>0.34953444228700115</v>
      </c>
      <c r="I75" s="23"/>
      <c r="J75" s="228">
        <f>'Table 3.26-REC Detail NonACS'!I44</f>
        <v>1.349903413436558</v>
      </c>
      <c r="K75" s="23"/>
      <c r="L75" s="46">
        <f>F75*J75</f>
        <v>6015.3420881352058</v>
      </c>
      <c r="M75" s="23"/>
      <c r="N75" s="83">
        <f>IF(D75&lt;&gt;0,L75/D75,0)</f>
        <v>0.47183773675686647</v>
      </c>
      <c r="O75" s="4"/>
    </row>
    <row r="76" spans="1:15" ht="12.75" customHeight="1" x14ac:dyDescent="0.25">
      <c r="B76" s="2"/>
      <c r="C76" s="188"/>
      <c r="D76" s="44"/>
      <c r="E76" s="23"/>
      <c r="F76" s="46"/>
      <c r="G76" s="23"/>
      <c r="H76" s="85"/>
      <c r="I76" s="23"/>
      <c r="J76" s="228"/>
      <c r="K76" s="23"/>
      <c r="L76" s="46"/>
      <c r="M76" s="23"/>
      <c r="N76" s="83"/>
      <c r="O76" s="4"/>
    </row>
    <row r="77" spans="1:15" ht="12.75" customHeight="1" x14ac:dyDescent="0.25">
      <c r="A77" s="16"/>
      <c r="B77" s="23"/>
      <c r="C77" s="334" t="s">
        <v>537</v>
      </c>
      <c r="D77" s="44">
        <f>D74</f>
        <v>33160.127</v>
      </c>
      <c r="E77" s="23"/>
      <c r="F77" s="46">
        <f>SUM(F74:F75)</f>
        <v>16046.734267631735</v>
      </c>
      <c r="G77" s="23"/>
      <c r="H77" s="85"/>
      <c r="I77" s="23"/>
      <c r="J77" s="23"/>
      <c r="K77" s="23"/>
      <c r="L77" s="46">
        <f>SUM(L74:L75)</f>
        <v>21661.541362385466</v>
      </c>
      <c r="M77" s="23"/>
      <c r="N77" s="83">
        <f>IF(D77&lt;&gt;0,L77/D77,0)</f>
        <v>0.65324060316130472</v>
      </c>
      <c r="O77" s="4"/>
    </row>
    <row r="78" spans="1:15" ht="12.75" customHeight="1" x14ac:dyDescent="0.25">
      <c r="A78" s="16"/>
      <c r="B78" s="23"/>
      <c r="C78" s="23"/>
      <c r="D78" s="23"/>
      <c r="E78" s="23"/>
      <c r="F78" s="23"/>
      <c r="G78" s="23"/>
      <c r="H78" s="23"/>
      <c r="I78" s="23"/>
      <c r="J78" s="23"/>
      <c r="K78" s="23"/>
      <c r="L78" s="23"/>
      <c r="M78" s="23"/>
      <c r="N78" s="83"/>
      <c r="O78" s="4"/>
    </row>
    <row r="79" spans="1:15" ht="12.75" customHeight="1" x14ac:dyDescent="0.25">
      <c r="A79" s="16"/>
      <c r="B79" s="23"/>
      <c r="C79" s="429" t="s">
        <v>269</v>
      </c>
      <c r="D79" s="44">
        <f>D40</f>
        <v>33160.127</v>
      </c>
      <c r="E79" s="23"/>
      <c r="F79" s="46">
        <f>SUM(F40,F67,F77)</f>
        <v>59759.384796521816</v>
      </c>
      <c r="G79" s="23"/>
      <c r="H79" s="85">
        <f>IF(D79&lt;&gt;0,F79/D79,0)</f>
        <v>1.8021458360675704</v>
      </c>
      <c r="I79" s="23"/>
      <c r="J79" s="23"/>
      <c r="K79" s="23"/>
      <c r="L79" s="46">
        <f>SUM(L40,L67,L77)</f>
        <v>80117.157429523766</v>
      </c>
      <c r="M79" s="23"/>
      <c r="N79" s="83">
        <f>IF(D79&lt;&gt;0,L79/D79,0)</f>
        <v>2.4160690768622137</v>
      </c>
      <c r="O79" s="4"/>
    </row>
    <row r="80" spans="1:15" hidden="1" x14ac:dyDescent="0.25">
      <c r="A80" s="16"/>
      <c r="B80" s="23"/>
      <c r="C80" s="23"/>
      <c r="D80" s="23"/>
      <c r="E80" s="23"/>
      <c r="F80" s="23"/>
      <c r="G80" s="23"/>
      <c r="H80" s="23"/>
      <c r="I80" s="2"/>
      <c r="J80" s="23"/>
      <c r="K80" s="2"/>
      <c r="L80" s="2"/>
      <c r="M80" s="2"/>
      <c r="N80" s="83"/>
      <c r="O80" s="4"/>
    </row>
    <row r="81" spans="1:15" hidden="1" x14ac:dyDescent="0.25">
      <c r="B81" s="439"/>
      <c r="C81" s="127" t="s">
        <v>188</v>
      </c>
      <c r="D81" s="440">
        <v>0</v>
      </c>
      <c r="E81" s="4"/>
      <c r="F81" s="440">
        <v>0</v>
      </c>
      <c r="G81" s="439"/>
      <c r="H81" s="440">
        <v>0</v>
      </c>
      <c r="I81" s="2"/>
      <c r="J81" s="4"/>
      <c r="K81" s="2"/>
      <c r="L81" s="2"/>
      <c r="M81" s="2"/>
      <c r="N81" s="58"/>
      <c r="O81" s="4"/>
    </row>
    <row r="82" spans="1:15" hidden="1" x14ac:dyDescent="0.25">
      <c r="B82" s="439"/>
      <c r="C82" s="127" t="s">
        <v>188</v>
      </c>
      <c r="D82" s="440">
        <v>0</v>
      </c>
      <c r="E82" s="4"/>
      <c r="F82" s="440">
        <v>0</v>
      </c>
      <c r="G82" s="439"/>
      <c r="H82" s="440">
        <v>0</v>
      </c>
      <c r="I82" s="2"/>
      <c r="J82" s="4"/>
      <c r="K82" s="2"/>
      <c r="L82" s="2"/>
      <c r="M82" s="2"/>
      <c r="N82" s="58"/>
      <c r="O82" s="4"/>
    </row>
    <row r="83" spans="1:15" hidden="1" x14ac:dyDescent="0.25">
      <c r="B83" s="439"/>
      <c r="C83" s="127" t="s">
        <v>188</v>
      </c>
      <c r="D83" s="440">
        <v>0</v>
      </c>
      <c r="E83" s="4"/>
      <c r="F83" s="440">
        <v>0</v>
      </c>
      <c r="G83" s="439"/>
      <c r="H83" s="515"/>
      <c r="I83" s="2"/>
      <c r="J83" s="4"/>
      <c r="K83" s="2"/>
      <c r="L83" s="2"/>
      <c r="M83" s="2"/>
      <c r="N83" s="58"/>
      <c r="O83" s="4"/>
    </row>
    <row r="84" spans="1:15" x14ac:dyDescent="0.25">
      <c r="A84" s="141"/>
      <c r="B84" s="141"/>
      <c r="C84" s="141"/>
    </row>
    <row r="85" spans="1:15" x14ac:dyDescent="0.25">
      <c r="A85" s="11" t="s">
        <v>235</v>
      </c>
    </row>
    <row r="86" spans="1:15" x14ac:dyDescent="0.25">
      <c r="A86" s="592" t="s">
        <v>796</v>
      </c>
      <c r="B86" s="593"/>
      <c r="C86" s="593"/>
      <c r="D86" s="25"/>
      <c r="E86" s="594"/>
    </row>
    <row r="87" spans="1:15" ht="12.75" customHeight="1" x14ac:dyDescent="0.25">
      <c r="A87" s="25" t="s">
        <v>795</v>
      </c>
      <c r="D87" s="25"/>
      <c r="H87" s="90"/>
    </row>
    <row r="88" spans="1:15" ht="12.75" customHeight="1" x14ac:dyDescent="0.25">
      <c r="A88" s="609" t="s">
        <v>94</v>
      </c>
      <c r="B88" s="610"/>
      <c r="C88" s="610"/>
    </row>
    <row r="89" spans="1:15" x14ac:dyDescent="0.25">
      <c r="H89" s="78"/>
      <c r="I89" s="462"/>
      <c r="J89" s="140"/>
      <c r="K89" s="462"/>
      <c r="L89" s="462"/>
      <c r="M89" s="462"/>
    </row>
  </sheetData>
  <mergeCells count="1">
    <mergeCell ref="A88:C88"/>
  </mergeCells>
  <phoneticPr fontId="0" type="noConversion"/>
  <printOptions horizontalCentered="1"/>
  <pageMargins left="0.75" right="0.75" top="1" bottom="1" header="0.5" footer="0.5"/>
  <pageSetup scale="87" fitToHeight="2" orientation="landscape" r:id="rId1"/>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dimension ref="A1:R124"/>
  <sheetViews>
    <sheetView zoomScale="70" zoomScaleNormal="70" workbookViewId="0"/>
  </sheetViews>
  <sheetFormatPr defaultColWidth="9.109375" defaultRowHeight="13.2" x14ac:dyDescent="0.25"/>
  <cols>
    <col min="1" max="1" width="43.33203125" style="11" customWidth="1"/>
    <col min="2" max="2" width="11.6640625" style="62" customWidth="1"/>
    <col min="3" max="3" width="11.6640625" style="52" customWidth="1"/>
    <col min="4" max="4" width="11.6640625" style="53" customWidth="1"/>
    <col min="5" max="5" width="2.6640625" style="53" customWidth="1"/>
    <col min="6" max="6" width="11.6640625" style="64" customWidth="1"/>
    <col min="7" max="7" width="2.6640625" style="24" customWidth="1"/>
    <col min="8" max="8" width="11.6640625" style="11" customWidth="1"/>
    <col min="9" max="9" width="2.33203125" style="24" customWidth="1"/>
    <col min="10" max="10" width="11.6640625" style="24" customWidth="1"/>
    <col min="11" max="11" width="11.6640625" style="64" customWidth="1"/>
    <col min="12" max="12" width="9.109375" style="11"/>
    <col min="13" max="13" width="11.6640625" style="11" customWidth="1"/>
    <col min="14" max="14" width="11.109375" style="11" hidden="1" customWidth="1"/>
    <col min="15" max="18" width="0" style="11" hidden="1" customWidth="1"/>
    <col min="19" max="16384" width="9.109375" style="11"/>
  </cols>
  <sheetData>
    <row r="1" spans="1:16" ht="15.75" customHeight="1" x14ac:dyDescent="0.3">
      <c r="A1" s="158" t="s">
        <v>62</v>
      </c>
    </row>
    <row r="2" spans="1:16" ht="15.75" customHeight="1" x14ac:dyDescent="0.3">
      <c r="A2" s="158" t="s">
        <v>787</v>
      </c>
    </row>
    <row r="3" spans="1:16" s="4" customFormat="1" ht="26.4" x14ac:dyDescent="0.25">
      <c r="B3" s="189" t="s">
        <v>248</v>
      </c>
      <c r="C3" s="146" t="s">
        <v>249</v>
      </c>
      <c r="D3" s="168" t="s">
        <v>250</v>
      </c>
      <c r="E3" s="168"/>
      <c r="F3" s="169" t="s">
        <v>207</v>
      </c>
      <c r="G3" s="159"/>
      <c r="H3" s="190" t="s">
        <v>246</v>
      </c>
      <c r="I3" s="159"/>
      <c r="J3" s="189" t="s">
        <v>110</v>
      </c>
      <c r="K3" s="41" t="s">
        <v>133</v>
      </c>
    </row>
    <row r="4" spans="1:16" x14ac:dyDescent="0.25">
      <c r="A4" s="15" t="s">
        <v>283</v>
      </c>
      <c r="B4" s="65"/>
      <c r="C4" s="39"/>
      <c r="D4" s="37"/>
      <c r="E4" s="37"/>
      <c r="F4" s="38"/>
      <c r="G4" s="2"/>
      <c r="H4" s="66"/>
      <c r="I4" s="2"/>
      <c r="J4" s="2"/>
      <c r="K4" s="38"/>
    </row>
    <row r="5" spans="1:16" ht="5.0999999999999996" customHeight="1" x14ac:dyDescent="0.25">
      <c r="A5" s="49"/>
      <c r="B5" s="65"/>
      <c r="C5" s="39"/>
      <c r="D5" s="37"/>
      <c r="E5" s="37"/>
      <c r="F5" s="38"/>
      <c r="G5" s="2"/>
      <c r="H5" s="66"/>
      <c r="I5" s="2"/>
      <c r="J5" s="2"/>
      <c r="K5" s="38"/>
    </row>
    <row r="6" spans="1:16" x14ac:dyDescent="0.25">
      <c r="A6" s="82" t="s">
        <v>275</v>
      </c>
      <c r="B6" s="57"/>
      <c r="C6" s="67"/>
      <c r="D6" s="40"/>
      <c r="E6" s="40"/>
      <c r="F6" s="41"/>
      <c r="G6" s="43"/>
      <c r="H6" s="54"/>
      <c r="I6" s="68"/>
      <c r="J6" s="68"/>
      <c r="K6" s="41"/>
    </row>
    <row r="7" spans="1:16" x14ac:dyDescent="0.25">
      <c r="A7" s="337" t="s">
        <v>135</v>
      </c>
      <c r="B7" s="135">
        <v>861.36418314717412</v>
      </c>
      <c r="C7" s="46">
        <v>35657.350798190608</v>
      </c>
      <c r="D7" s="135">
        <v>578306.30294329859</v>
      </c>
      <c r="E7" s="135"/>
      <c r="F7" s="83">
        <f>C7/D7</f>
        <v>6.1658243419986929E-2</v>
      </c>
      <c r="G7" s="159"/>
      <c r="H7" s="54">
        <v>1.2964905110516152</v>
      </c>
      <c r="I7" s="72"/>
      <c r="J7" s="46">
        <f>C7*H7</f>
        <v>46229.416959092858</v>
      </c>
      <c r="K7" s="83">
        <f>F7*(H7)</f>
        <v>7.9939327522123738E-2</v>
      </c>
      <c r="N7" s="138">
        <f>B7-'Table 3.15-Route UAA NoPARS'!B7-'Table 3.16-Route UAA PARS'!B7</f>
        <v>0</v>
      </c>
      <c r="O7" s="138">
        <f>C7-'Table 3.15-Route UAA NoPARS'!C7-'Table 3.16-Route UAA PARS'!C7</f>
        <v>0</v>
      </c>
      <c r="P7" s="138">
        <f>D7-'Table 3.15-Route UAA NoPARS'!D7-'Table 3.16-Route UAA PARS'!D7</f>
        <v>0</v>
      </c>
    </row>
    <row r="8" spans="1:16" ht="12.75" customHeight="1" x14ac:dyDescent="0.25">
      <c r="A8" s="338" t="s">
        <v>136</v>
      </c>
      <c r="B8" s="135">
        <v>308.53015396335832</v>
      </c>
      <c r="C8" s="46">
        <v>7263.069419381738</v>
      </c>
      <c r="D8" s="135">
        <v>215964.21195388958</v>
      </c>
      <c r="E8" s="135"/>
      <c r="F8" s="83">
        <f>C8/D8</f>
        <v>3.3630893534029024E-2</v>
      </c>
      <c r="G8" s="159"/>
      <c r="H8" s="54">
        <v>1.2111795318702914</v>
      </c>
      <c r="I8" s="72"/>
      <c r="J8" s="46">
        <f>C8*H8</f>
        <v>8796.8810193082027</v>
      </c>
      <c r="K8" s="83">
        <f>F8*(H8)</f>
        <v>4.0733049886924881E-2</v>
      </c>
      <c r="N8" s="138">
        <f>B8-'Table 3.15-Route UAA NoPARS'!B8-'Table 3.16-Route UAA PARS'!B8</f>
        <v>0</v>
      </c>
      <c r="O8" s="138">
        <f>C8-'Table 3.15-Route UAA NoPARS'!C8-'Table 3.16-Route UAA PARS'!C8</f>
        <v>0</v>
      </c>
      <c r="P8" s="138">
        <f>D8-'Table 3.15-Route UAA NoPARS'!D8-'Table 3.16-Route UAA PARS'!D8</f>
        <v>0</v>
      </c>
    </row>
    <row r="9" spans="1:16" x14ac:dyDescent="0.25">
      <c r="A9" s="337" t="s">
        <v>137</v>
      </c>
      <c r="B9" s="135">
        <v>217.755920478229</v>
      </c>
      <c r="C9" s="46">
        <v>6444.1061967738451</v>
      </c>
      <c r="D9" s="135">
        <v>151004.86658752486</v>
      </c>
      <c r="E9" s="135"/>
      <c r="F9" s="83">
        <f>C9/D9</f>
        <v>4.267482460930315E-2</v>
      </c>
      <c r="G9" s="159"/>
      <c r="H9" s="54">
        <v>1.5249384833271007</v>
      </c>
      <c r="I9" s="48"/>
      <c r="J9" s="46">
        <f>C9*H9</f>
        <v>9826.8655301070776</v>
      </c>
      <c r="K9" s="83">
        <f>F9*(H9)</f>
        <v>6.5076482315960776E-2</v>
      </c>
      <c r="N9" s="138">
        <f>B9-'Table 3.15-Route UAA NoPARS'!B9-'Table 3.16-Route UAA PARS'!B9</f>
        <v>0</v>
      </c>
      <c r="O9" s="138">
        <f>C9-'Table 3.15-Route UAA NoPARS'!C9-'Table 3.16-Route UAA PARS'!C9</f>
        <v>0</v>
      </c>
      <c r="P9" s="138">
        <f>D9-'Table 3.15-Route UAA NoPARS'!D9-'Table 3.16-Route UAA PARS'!D9</f>
        <v>0</v>
      </c>
    </row>
    <row r="10" spans="1:16" x14ac:dyDescent="0.25">
      <c r="A10" s="337" t="s">
        <v>107</v>
      </c>
      <c r="B10" s="135">
        <v>5.9731641991301982</v>
      </c>
      <c r="C10" s="46">
        <v>236.93511502121797</v>
      </c>
      <c r="D10" s="135">
        <v>4193.0404249066642</v>
      </c>
      <c r="E10" s="135"/>
      <c r="F10" s="83">
        <f>C10/D10</f>
        <v>5.6506756675614944E-2</v>
      </c>
      <c r="G10" s="159"/>
      <c r="H10" s="54">
        <v>1.2111795318702914</v>
      </c>
      <c r="I10" s="72"/>
      <c r="J10" s="46">
        <f>C10*H10</f>
        <v>286.97096169503243</v>
      </c>
      <c r="K10" s="83">
        <f>F10*(H10)</f>
        <v>6.8439827097879768E-2</v>
      </c>
      <c r="N10" s="138">
        <f>B10-'Table 3.15-Route UAA NoPARS'!B10-'Table 3.16-Route UAA PARS'!B10</f>
        <v>0</v>
      </c>
      <c r="O10" s="138">
        <f>C10-'Table 3.15-Route UAA NoPARS'!C10-'Table 3.16-Route UAA PARS'!C10</f>
        <v>0</v>
      </c>
      <c r="P10" s="138">
        <f>D10-'Table 3.15-Route UAA NoPARS'!D10-'Table 3.16-Route UAA PARS'!D10</f>
        <v>0</v>
      </c>
    </row>
    <row r="11" spans="1:16" x14ac:dyDescent="0.25">
      <c r="A11" s="337" t="s">
        <v>277</v>
      </c>
      <c r="B11" s="135">
        <f>SUM(B7:B10)</f>
        <v>1393.6234217878916</v>
      </c>
      <c r="C11" s="46">
        <f>SUM(C7:C10)</f>
        <v>49601.461529367407</v>
      </c>
      <c r="D11" s="135">
        <f>SUM(D7:D10)</f>
        <v>949468.4219096197</v>
      </c>
      <c r="E11" s="135"/>
      <c r="F11" s="83">
        <f>C11/D11</f>
        <v>5.2241296692739289E-2</v>
      </c>
      <c r="G11" s="159"/>
      <c r="H11" s="54"/>
      <c r="I11" s="72"/>
      <c r="J11" s="46">
        <f>SUM(J7:J10)</f>
        <v>65140.134470203171</v>
      </c>
      <c r="K11" s="83">
        <f>SUMPRODUCT(K7:K10,D7:D10)/D11</f>
        <v>6.8606952023944082E-2</v>
      </c>
      <c r="L11" s="84"/>
      <c r="N11" s="138">
        <f>B11-'Table 3.15-Route UAA NoPARS'!B11-'Table 3.16-Route UAA PARS'!B11</f>
        <v>0</v>
      </c>
      <c r="O11" s="138">
        <f>C11-'Table 3.15-Route UAA NoPARS'!C11-'Table 3.16-Route UAA PARS'!C11</f>
        <v>0</v>
      </c>
      <c r="P11" s="138">
        <f>D11-'Table 3.15-Route UAA NoPARS'!D11-'Table 3.16-Route UAA PARS'!D11</f>
        <v>0</v>
      </c>
    </row>
    <row r="12" spans="1:16" ht="5.0999999999999996" customHeight="1" x14ac:dyDescent="0.25">
      <c r="A12" s="21"/>
      <c r="B12" s="135"/>
      <c r="C12" s="46"/>
      <c r="D12" s="135"/>
      <c r="E12" s="135"/>
      <c r="F12" s="83"/>
      <c r="G12" s="159"/>
      <c r="H12" s="54"/>
      <c r="I12" s="72"/>
      <c r="J12" s="46"/>
      <c r="K12" s="83"/>
      <c r="L12" s="84"/>
    </row>
    <row r="13" spans="1:16" x14ac:dyDescent="0.25">
      <c r="A13" s="89" t="s">
        <v>383</v>
      </c>
      <c r="B13" s="135"/>
      <c r="C13" s="46"/>
      <c r="D13" s="135"/>
      <c r="E13" s="135"/>
      <c r="F13" s="83"/>
      <c r="G13" s="159"/>
      <c r="H13" s="54"/>
      <c r="I13" s="72"/>
      <c r="J13" s="46"/>
      <c r="K13" s="83"/>
      <c r="L13" s="84"/>
    </row>
    <row r="14" spans="1:16" x14ac:dyDescent="0.25">
      <c r="A14" s="337" t="s">
        <v>135</v>
      </c>
      <c r="B14" s="135">
        <v>78.698413774912041</v>
      </c>
      <c r="C14" s="46">
        <v>3270.8857785738655</v>
      </c>
      <c r="D14" s="135">
        <v>52550.704823540167</v>
      </c>
      <c r="E14" s="135"/>
      <c r="F14" s="83">
        <f>C14/D14</f>
        <v>6.2242472095420255E-2</v>
      </c>
      <c r="G14" s="159"/>
      <c r="H14" s="54">
        <v>1.2964905110516152</v>
      </c>
      <c r="I14" s="72"/>
      <c r="J14" s="46">
        <f>C14*H14</f>
        <v>4240.6723746546913</v>
      </c>
      <c r="K14" s="83">
        <f>F14*(H14)</f>
        <v>8.0696774456107304E-2</v>
      </c>
      <c r="L14" s="84"/>
      <c r="N14" s="138">
        <f>B14-'Table 3.15-Route UAA NoPARS'!B14-'Table 3.16-Route UAA PARS'!B14</f>
        <v>0</v>
      </c>
      <c r="O14" s="138">
        <f>C14-'Table 3.15-Route UAA NoPARS'!C14-'Table 3.16-Route UAA PARS'!C14</f>
        <v>0</v>
      </c>
      <c r="P14" s="138">
        <f>D14-'Table 3.15-Route UAA NoPARS'!D14-'Table 3.16-Route UAA PARS'!D14</f>
        <v>0</v>
      </c>
    </row>
    <row r="15" spans="1:16" x14ac:dyDescent="0.25">
      <c r="A15" s="338" t="s">
        <v>136</v>
      </c>
      <c r="B15" s="135">
        <v>43.481635538416519</v>
      </c>
      <c r="C15" s="46">
        <v>1062.9950393574952</v>
      </c>
      <c r="D15" s="135">
        <v>29204.884282745206</v>
      </c>
      <c r="E15" s="135"/>
      <c r="F15" s="83">
        <f>C15/D15</f>
        <v>3.6397851436978046E-2</v>
      </c>
      <c r="G15" s="159"/>
      <c r="H15" s="54">
        <v>1.2111795318702914</v>
      </c>
      <c r="I15" s="72"/>
      <c r="J15" s="46">
        <f>C15*H15</f>
        <v>1287.477834149453</v>
      </c>
      <c r="K15" s="83">
        <f>F15*(H15)</f>
        <v>4.4084332664523482E-2</v>
      </c>
      <c r="L15" s="84"/>
      <c r="N15" s="138">
        <f>B15-'Table 3.15-Route UAA NoPARS'!B15-'Table 3.16-Route UAA PARS'!B15</f>
        <v>0</v>
      </c>
      <c r="O15" s="138">
        <f>C15-'Table 3.15-Route UAA NoPARS'!C15-'Table 3.16-Route UAA PARS'!C15</f>
        <v>0</v>
      </c>
      <c r="P15" s="138">
        <f>D15-'Table 3.15-Route UAA NoPARS'!D15-'Table 3.16-Route UAA PARS'!D15</f>
        <v>0</v>
      </c>
    </row>
    <row r="16" spans="1:16" x14ac:dyDescent="0.25">
      <c r="A16" s="337" t="s">
        <v>137</v>
      </c>
      <c r="B16" s="135">
        <v>36.670962594902605</v>
      </c>
      <c r="C16" s="46">
        <v>598.41162154447295</v>
      </c>
      <c r="D16" s="135">
        <v>14405.597122455812</v>
      </c>
      <c r="E16" s="135"/>
      <c r="F16" s="83">
        <f>C16/D16</f>
        <v>4.1540216379621894E-2</v>
      </c>
      <c r="G16" s="159"/>
      <c r="H16" s="54">
        <v>1.5249384833271007</v>
      </c>
      <c r="I16" s="72"/>
      <c r="J16" s="46">
        <f>C16*H16</f>
        <v>912.54091056333959</v>
      </c>
      <c r="K16" s="83">
        <f>F16*(H16)</f>
        <v>6.3346274563020194E-2</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x14ac:dyDescent="0.25">
      <c r="A17" s="337" t="s">
        <v>107</v>
      </c>
      <c r="B17" s="135">
        <v>0.77297602958036937</v>
      </c>
      <c r="C17" s="46">
        <v>30.66133097495268</v>
      </c>
      <c r="D17" s="135">
        <v>533.28574196369141</v>
      </c>
      <c r="E17" s="135"/>
      <c r="F17" s="83">
        <f>C17/D17</f>
        <v>5.7495126087657986E-2</v>
      </c>
      <c r="G17" s="159"/>
      <c r="H17" s="54">
        <v>1.2111795318702914</v>
      </c>
      <c r="I17" s="72"/>
      <c r="J17" s="46">
        <f>C17*H17</f>
        <v>37.136376496763255</v>
      </c>
      <c r="K17" s="83">
        <f>F17*(H17)</f>
        <v>6.963691989967298E-2</v>
      </c>
      <c r="L17" s="84"/>
      <c r="N17" s="138">
        <f>B17-'Table 3.15-Route UAA NoPARS'!B17-'Table 3.16-Route UAA PARS'!B17</f>
        <v>0</v>
      </c>
      <c r="O17" s="138">
        <f>C17-'Table 3.15-Route UAA NoPARS'!C17-'Table 3.16-Route UAA PARS'!C17</f>
        <v>0</v>
      </c>
      <c r="P17" s="138">
        <f>D17-'Table 3.15-Route UAA NoPARS'!D17-'Table 3.16-Route UAA PARS'!D17</f>
        <v>0</v>
      </c>
    </row>
    <row r="18" spans="1:16" x14ac:dyDescent="0.25">
      <c r="A18" s="337" t="s">
        <v>277</v>
      </c>
      <c r="B18" s="135">
        <f>SUM(B14:B17)</f>
        <v>159.62398793781153</v>
      </c>
      <c r="C18" s="46">
        <f>SUM(C14:C17)</f>
        <v>4962.9537704507866</v>
      </c>
      <c r="D18" s="135">
        <f>SUM(D14:D17)</f>
        <v>96694.471970704879</v>
      </c>
      <c r="E18" s="135"/>
      <c r="F18" s="83">
        <f>C18/D18</f>
        <v>5.1326137568178581E-2</v>
      </c>
      <c r="G18" s="159"/>
      <c r="H18" s="54"/>
      <c r="I18" s="72"/>
      <c r="J18" s="46">
        <f>SUM(J14:J17)</f>
        <v>6477.8274958642478</v>
      </c>
      <c r="K18" s="83">
        <f>SUMPRODUCT(K14:K17,D14:D17)/D18</f>
        <v>6.6992738714440767E-2</v>
      </c>
      <c r="L18" s="84"/>
      <c r="N18" s="138">
        <f>B18-'Table 3.15-Route UAA NoPARS'!B18-'Table 3.16-Route UAA PARS'!B18</f>
        <v>0</v>
      </c>
      <c r="O18" s="138">
        <f>C18-'Table 3.15-Route UAA NoPARS'!C18-'Table 3.16-Route UAA PARS'!C18</f>
        <v>0</v>
      </c>
      <c r="P18" s="138">
        <f>D18-'Table 3.15-Route UAA NoPARS'!D18-'Table 3.16-Route UAA PARS'!D18</f>
        <v>0</v>
      </c>
    </row>
    <row r="19" spans="1:16" ht="5.0999999999999996" customHeight="1" x14ac:dyDescent="0.25">
      <c r="A19" s="81"/>
      <c r="B19" s="135"/>
      <c r="C19" s="135"/>
      <c r="D19" s="135"/>
      <c r="E19" s="135"/>
      <c r="F19" s="83"/>
      <c r="G19" s="159"/>
      <c r="H19" s="54"/>
      <c r="I19" s="72"/>
      <c r="J19" s="46"/>
      <c r="K19" s="83"/>
      <c r="L19" s="84"/>
    </row>
    <row r="20" spans="1:16" ht="12.75" customHeight="1" x14ac:dyDescent="0.25">
      <c r="A20" s="89" t="s">
        <v>384</v>
      </c>
      <c r="B20" s="135"/>
      <c r="C20" s="135"/>
      <c r="D20" s="135"/>
      <c r="E20" s="135"/>
      <c r="F20" s="83"/>
      <c r="G20" s="159"/>
      <c r="H20" s="54"/>
      <c r="I20" s="72"/>
      <c r="J20" s="46"/>
      <c r="K20" s="83"/>
      <c r="L20" s="84"/>
    </row>
    <row r="21" spans="1:16" ht="12.75" customHeight="1" x14ac:dyDescent="0.25">
      <c r="A21" s="337" t="s">
        <v>135</v>
      </c>
      <c r="B21" s="135">
        <v>290.92275142129591</v>
      </c>
      <c r="C21" s="46">
        <v>12080.050177010957</v>
      </c>
      <c r="D21" s="135">
        <v>182745.05683160594</v>
      </c>
      <c r="E21" s="135"/>
      <c r="F21" s="83">
        <f>C21/D21</f>
        <v>6.6103293771400659E-2</v>
      </c>
      <c r="G21" s="159"/>
      <c r="H21" s="54">
        <v>1.2964905110516152</v>
      </c>
      <c r="I21" s="72"/>
      <c r="J21" s="46">
        <f>C21*H21</f>
        <v>15661.670427522089</v>
      </c>
      <c r="K21" s="83">
        <f>F21*(H21)</f>
        <v>8.5702293123878295E-2</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x14ac:dyDescent="0.25">
      <c r="A22" s="338" t="s">
        <v>136</v>
      </c>
      <c r="B22" s="135">
        <v>124.23059402076757</v>
      </c>
      <c r="C22" s="46">
        <v>3100.5770397516108</v>
      </c>
      <c r="D22" s="135">
        <v>82762.029252086548</v>
      </c>
      <c r="E22" s="135"/>
      <c r="F22" s="83">
        <f>C22/D22</f>
        <v>3.746376288463759E-2</v>
      </c>
      <c r="G22" s="159"/>
      <c r="H22" s="54">
        <v>1.2111795318702914</v>
      </c>
      <c r="I22" s="72"/>
      <c r="J22" s="46">
        <f>C22*H22</f>
        <v>3755.3554475341298</v>
      </c>
      <c r="K22" s="83">
        <f>F22*(H22)</f>
        <v>4.5375342792714955E-2</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x14ac:dyDescent="0.25">
      <c r="A23" s="337" t="s">
        <v>137</v>
      </c>
      <c r="B23" s="135">
        <v>57.520732060469911</v>
      </c>
      <c r="C23" s="46">
        <v>1879.7385290352477</v>
      </c>
      <c r="D23" s="135">
        <v>37492.83722359065</v>
      </c>
      <c r="E23" s="135"/>
      <c r="F23" s="83">
        <f>C23/D23</f>
        <v>5.0135937107808642E-2</v>
      </c>
      <c r="G23" s="159"/>
      <c r="H23" s="54">
        <v>1.5249384833271007</v>
      </c>
      <c r="I23" s="72"/>
      <c r="J23" s="46">
        <f>C23*H23</f>
        <v>2866.4856215185259</v>
      </c>
      <c r="K23" s="83">
        <f>F23*(H23)</f>
        <v>7.6454219893364622E-2</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x14ac:dyDescent="0.25">
      <c r="A24" s="337" t="s">
        <v>107</v>
      </c>
      <c r="B24" s="135">
        <v>1.6560429985860781</v>
      </c>
      <c r="C24" s="46">
        <v>65.689595207714532</v>
      </c>
      <c r="D24" s="135">
        <v>1142.5245873461188</v>
      </c>
      <c r="E24" s="135"/>
      <c r="F24" s="83">
        <f>C24/D24</f>
        <v>5.7495126087658006E-2</v>
      </c>
      <c r="G24" s="159"/>
      <c r="H24" s="54">
        <v>1.2111795318702914</v>
      </c>
      <c r="I24" s="72"/>
      <c r="J24" s="46">
        <f>C24*H24</f>
        <v>79.561893172428626</v>
      </c>
      <c r="K24" s="83">
        <f>F24*(H24)</f>
        <v>6.9636919899672994E-2</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x14ac:dyDescent="0.25">
      <c r="A25" s="337" t="s">
        <v>277</v>
      </c>
      <c r="B25" s="135">
        <f>SUM(B21:B24)</f>
        <v>474.3301205011195</v>
      </c>
      <c r="C25" s="46">
        <f>SUM(C21:C24)</f>
        <v>17126.055341005529</v>
      </c>
      <c r="D25" s="135">
        <f>SUM(D21:D24)</f>
        <v>304142.44789462927</v>
      </c>
      <c r="E25" s="135"/>
      <c r="F25" s="83">
        <f>C25/D25</f>
        <v>5.6309323014783141E-2</v>
      </c>
      <c r="G25" s="159"/>
      <c r="H25" s="54"/>
      <c r="I25" s="72"/>
      <c r="J25" s="46">
        <f>SUM(J21:J24)</f>
        <v>22363.073389747173</v>
      </c>
      <c r="K25" s="83">
        <f>SUMPRODUCT(K21:K24,D21:D24)/D25</f>
        <v>7.3528287631507788E-2</v>
      </c>
      <c r="L25" s="84"/>
      <c r="N25" s="138">
        <f>B25-'Table 3.15-Route UAA NoPARS'!B25-'Table 3.16-Route UAA PARS'!B25</f>
        <v>0</v>
      </c>
      <c r="O25" s="138">
        <f>C25-'Table 3.15-Route UAA NoPARS'!C25-'Table 3.16-Route UAA PARS'!C25</f>
        <v>0</v>
      </c>
      <c r="P25" s="138">
        <f>D25-'Table 3.15-Route UAA NoPARS'!D25-'Table 3.16-Route UAA PARS'!D25</f>
        <v>0</v>
      </c>
    </row>
    <row r="26" spans="1:16" ht="5.0999999999999996" customHeight="1" x14ac:dyDescent="0.25">
      <c r="A26" s="81"/>
      <c r="B26" s="135"/>
      <c r="C26" s="135"/>
      <c r="D26" s="135"/>
      <c r="E26" s="135"/>
      <c r="F26" s="83"/>
      <c r="G26" s="159"/>
      <c r="H26" s="54"/>
      <c r="I26" s="72"/>
      <c r="J26" s="46"/>
      <c r="K26" s="83"/>
      <c r="L26" s="84"/>
    </row>
    <row r="27" spans="1:16" ht="12.75" customHeight="1" x14ac:dyDescent="0.25">
      <c r="A27" s="21" t="s">
        <v>276</v>
      </c>
      <c r="B27" s="135"/>
      <c r="C27" s="135"/>
      <c r="D27" s="135"/>
      <c r="E27" s="135"/>
      <c r="F27" s="83"/>
      <c r="G27" s="159"/>
      <c r="H27" s="54"/>
      <c r="I27" s="72"/>
      <c r="J27" s="46"/>
      <c r="K27" s="83"/>
      <c r="L27" s="84"/>
    </row>
    <row r="28" spans="1:16" ht="12.75" customHeight="1" x14ac:dyDescent="0.25">
      <c r="A28" s="337" t="s">
        <v>135</v>
      </c>
      <c r="B28" s="135">
        <v>29.65032294072763</v>
      </c>
      <c r="C28" s="46">
        <v>1158.0437699402007</v>
      </c>
      <c r="D28" s="135">
        <v>21991.75082753996</v>
      </c>
      <c r="E28" s="135"/>
      <c r="F28" s="83">
        <f>C28/D28</f>
        <v>5.2658097985086243E-2</v>
      </c>
      <c r="G28" s="159"/>
      <c r="H28" s="54">
        <v>1.2964905110516152</v>
      </c>
      <c r="I28" s="72"/>
      <c r="J28" s="46">
        <f>C28*H28</f>
        <v>1501.39275910991</v>
      </c>
      <c r="K28" s="83">
        <f>F28*(H28)</f>
        <v>6.8270724367690494E-2</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x14ac:dyDescent="0.25">
      <c r="A29" s="338" t="s">
        <v>136</v>
      </c>
      <c r="B29" s="135">
        <v>15.832297289455147</v>
      </c>
      <c r="C29" s="46">
        <v>363.76148154041891</v>
      </c>
      <c r="D29" s="135">
        <v>11220.475570039142</v>
      </c>
      <c r="E29" s="135"/>
      <c r="F29" s="83">
        <f>C29/D29</f>
        <v>3.2419435278815904E-2</v>
      </c>
      <c r="G29" s="159"/>
      <c r="H29" s="54">
        <v>1.2111795318702914</v>
      </c>
      <c r="I29" s="72"/>
      <c r="J29" s="46">
        <f>C29*H29</f>
        <v>440.58046092456823</v>
      </c>
      <c r="K29" s="83">
        <f>F29*(H29)</f>
        <v>3.9265756444495453E-2</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x14ac:dyDescent="0.25">
      <c r="A30" s="337" t="s">
        <v>137</v>
      </c>
      <c r="B30" s="135">
        <v>12.497440535645643</v>
      </c>
      <c r="C30" s="46">
        <v>1205.1095623648921</v>
      </c>
      <c r="D30" s="135">
        <v>6436.217385537564</v>
      </c>
      <c r="E30" s="135"/>
      <c r="F30" s="83">
        <f>C30/D30</f>
        <v>0.18723879107514627</v>
      </c>
      <c r="G30" s="159"/>
      <c r="H30" s="54">
        <v>1.5249384833271007</v>
      </c>
      <c r="I30" s="72"/>
      <c r="J30" s="46">
        <f>C30*H30</f>
        <v>1837.7179482757047</v>
      </c>
      <c r="K30" s="83">
        <f>F30*(H30)</f>
        <v>0.28552763808213344</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x14ac:dyDescent="0.25">
      <c r="A31" s="337" t="s">
        <v>107</v>
      </c>
      <c r="B31" s="135">
        <v>0.10609438331538082</v>
      </c>
      <c r="C31" s="46">
        <v>4.2084034652178852</v>
      </c>
      <c r="D31" s="135">
        <v>81.037286663657625</v>
      </c>
      <c r="E31" s="135"/>
      <c r="F31" s="83">
        <f>C31/D31</f>
        <v>5.1931692662474181E-2</v>
      </c>
      <c r="G31" s="159"/>
      <c r="H31" s="54">
        <v>1.2111795318702914</v>
      </c>
      <c r="I31" s="72"/>
      <c r="J31" s="46">
        <f>C31*H31</f>
        <v>5.0971321389239099</v>
      </c>
      <c r="K31" s="83">
        <f>F31*(H31)</f>
        <v>6.2898603208167328E-2</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x14ac:dyDescent="0.25">
      <c r="A32" s="337" t="s">
        <v>277</v>
      </c>
      <c r="B32" s="135">
        <f>SUM(B28:B31)</f>
        <v>58.086155149143799</v>
      </c>
      <c r="C32" s="46">
        <f>SUM(C28:C31)</f>
        <v>2731.1232173107296</v>
      </c>
      <c r="D32" s="135">
        <f>SUM(D28:D31)</f>
        <v>39729.481069780326</v>
      </c>
      <c r="E32" s="135"/>
      <c r="F32" s="83">
        <f>C32/D32</f>
        <v>6.874298741818001E-2</v>
      </c>
      <c r="G32" s="159"/>
      <c r="H32" s="54"/>
      <c r="I32" s="72"/>
      <c r="J32" s="46">
        <f>SUM(J28:J31)</f>
        <v>3784.7883004491068</v>
      </c>
      <c r="K32" s="83">
        <f>SUMPRODUCT(K28:K31,D28:D31)/D32</f>
        <v>9.5263975227905834E-2</v>
      </c>
      <c r="L32" s="84"/>
      <c r="N32" s="138">
        <f>B32-'Table 3.15-Route UAA NoPARS'!B32-'Table 3.16-Route UAA PARS'!B32</f>
        <v>0</v>
      </c>
      <c r="O32" s="138">
        <f>C32-'Table 3.15-Route UAA NoPARS'!C32-'Table 3.16-Route UAA PARS'!C32</f>
        <v>0</v>
      </c>
      <c r="P32" s="138">
        <f>D32-'Table 3.15-Route UAA NoPARS'!D32-'Table 3.16-Route UAA PARS'!D32</f>
        <v>0</v>
      </c>
    </row>
    <row r="33" spans="1:17" ht="5.0999999999999996" customHeight="1" x14ac:dyDescent="0.25">
      <c r="A33" s="81"/>
      <c r="B33" s="135"/>
      <c r="C33" s="46"/>
      <c r="D33" s="135"/>
      <c r="E33" s="135"/>
      <c r="F33" s="83"/>
      <c r="G33" s="159"/>
      <c r="H33" s="54"/>
      <c r="I33" s="72"/>
      <c r="J33" s="46"/>
      <c r="K33" s="83"/>
      <c r="L33" s="84"/>
    </row>
    <row r="34" spans="1:17" ht="12.75" customHeight="1" x14ac:dyDescent="0.25">
      <c r="A34" s="89" t="s">
        <v>288</v>
      </c>
      <c r="B34" s="135"/>
      <c r="C34" s="46"/>
      <c r="D34" s="135"/>
      <c r="E34" s="135"/>
      <c r="F34" s="83"/>
      <c r="G34" s="159"/>
      <c r="H34" s="54"/>
      <c r="I34" s="72"/>
      <c r="J34" s="46"/>
      <c r="K34" s="83"/>
      <c r="L34" s="84"/>
    </row>
    <row r="35" spans="1:17" x14ac:dyDescent="0.25">
      <c r="A35" s="337" t="s">
        <v>135</v>
      </c>
      <c r="B35" s="135">
        <f t="shared" ref="B35:D38" si="0">SUM(B7,B14,B21,B28)</f>
        <v>1260.6356712841098</v>
      </c>
      <c r="C35" s="46">
        <f t="shared" si="0"/>
        <v>52166.330523715631</v>
      </c>
      <c r="D35" s="135">
        <f t="shared" si="0"/>
        <v>835593.81542598468</v>
      </c>
      <c r="E35" s="135"/>
      <c r="F35" s="83">
        <f>C35/D35</f>
        <v>6.2430249674743345E-2</v>
      </c>
      <c r="G35" s="159"/>
      <c r="H35" s="54">
        <v>1.2964905110516152</v>
      </c>
      <c r="I35" s="72"/>
      <c r="J35" s="46">
        <f>SUM(J7,J14,J21,J28)</f>
        <v>67633.152520379546</v>
      </c>
      <c r="K35" s="83">
        <f>F35*(H35)</f>
        <v>8.094022630588793E-2</v>
      </c>
      <c r="L35" s="84"/>
      <c r="N35" s="138">
        <f>B35-'Table 3.15-Route UAA NoPARS'!B35-'Table 3.16-Route UAA PARS'!B35</f>
        <v>0</v>
      </c>
      <c r="O35" s="138">
        <f>C35-'Table 3.15-Route UAA NoPARS'!C35-'Table 3.16-Route UAA PARS'!C35</f>
        <v>0</v>
      </c>
      <c r="P35" s="138">
        <f>D35-'Table 3.15-Route UAA NoPARS'!D35-'Table 3.16-Route UAA PARS'!D35</f>
        <v>0</v>
      </c>
    </row>
    <row r="36" spans="1:17" x14ac:dyDescent="0.25">
      <c r="A36" s="338" t="s">
        <v>136</v>
      </c>
      <c r="B36" s="135">
        <f t="shared" si="0"/>
        <v>492.07468081199755</v>
      </c>
      <c r="C36" s="46">
        <f t="shared" si="0"/>
        <v>11790.402980031264</v>
      </c>
      <c r="D36" s="135">
        <f t="shared" si="0"/>
        <v>339151.60105876048</v>
      </c>
      <c r="E36" s="135"/>
      <c r="F36" s="83">
        <f>C36/D36</f>
        <v>3.4764403125988753E-2</v>
      </c>
      <c r="G36" s="159"/>
      <c r="H36" s="54">
        <v>1.2111795318702914</v>
      </c>
      <c r="I36" s="72"/>
      <c r="J36" s="46">
        <f>SUM(J8,J15,J22,J29)</f>
        <v>14280.294761916353</v>
      </c>
      <c r="K36" s="83">
        <f>F36*(H36)</f>
        <v>4.2105933503885154E-2</v>
      </c>
      <c r="L36" s="84"/>
      <c r="N36" s="138">
        <f>B36-'Table 3.15-Route UAA NoPARS'!B36-'Table 3.16-Route UAA PARS'!B36</f>
        <v>0</v>
      </c>
      <c r="O36" s="138">
        <f>C36-'Table 3.15-Route UAA NoPARS'!C36-'Table 3.16-Route UAA PARS'!C36</f>
        <v>0</v>
      </c>
      <c r="P36" s="138">
        <f>D36-'Table 3.15-Route UAA NoPARS'!D36-'Table 3.16-Route UAA PARS'!D36</f>
        <v>0</v>
      </c>
    </row>
    <row r="37" spans="1:17" x14ac:dyDescent="0.25">
      <c r="A37" s="337" t="s">
        <v>137</v>
      </c>
      <c r="B37" s="135">
        <f t="shared" si="0"/>
        <v>324.44505566924715</v>
      </c>
      <c r="C37" s="46">
        <f t="shared" si="0"/>
        <v>10127.365909718459</v>
      </c>
      <c r="D37" s="135">
        <f t="shared" si="0"/>
        <v>209339.51831910887</v>
      </c>
      <c r="E37" s="135"/>
      <c r="F37" s="83">
        <f>C37/D37</f>
        <v>4.8377707138318259E-2</v>
      </c>
      <c r="G37" s="159"/>
      <c r="H37" s="54">
        <v>1.5249384833271007</v>
      </c>
      <c r="I37" s="72"/>
      <c r="J37" s="46">
        <f>SUM(J9,J16,J23,J30)</f>
        <v>15443.610010464647</v>
      </c>
      <c r="K37" s="83">
        <f>F37*(H37)</f>
        <v>7.3773027350349699E-2</v>
      </c>
      <c r="L37" s="84"/>
      <c r="N37" s="138">
        <f>B37-'Table 3.15-Route UAA NoPARS'!B37-'Table 3.16-Route UAA PARS'!B37</f>
        <v>0</v>
      </c>
      <c r="O37" s="138">
        <f>C37-'Table 3.15-Route UAA NoPARS'!C37-'Table 3.16-Route UAA PARS'!C37</f>
        <v>0</v>
      </c>
      <c r="P37" s="138">
        <f>D37-'Table 3.15-Route UAA NoPARS'!D37-'Table 3.16-Route UAA PARS'!D37</f>
        <v>0</v>
      </c>
    </row>
    <row r="38" spans="1:17" x14ac:dyDescent="0.25">
      <c r="A38" s="337" t="s">
        <v>107</v>
      </c>
      <c r="B38" s="135">
        <f t="shared" si="0"/>
        <v>8.5082776106120264</v>
      </c>
      <c r="C38" s="46">
        <f t="shared" si="0"/>
        <v>337.49444466910307</v>
      </c>
      <c r="D38" s="135">
        <f t="shared" si="0"/>
        <v>5949.8880408801324</v>
      </c>
      <c r="E38" s="135"/>
      <c r="F38" s="83">
        <f>C38/D38</f>
        <v>5.6722822740573699E-2</v>
      </c>
      <c r="G38" s="159"/>
      <c r="H38" s="54">
        <v>1.2111795318702914</v>
      </c>
      <c r="I38" s="72"/>
      <c r="J38" s="46">
        <f>SUM(J10,J17,J24,J31)</f>
        <v>408.76636350314817</v>
      </c>
      <c r="K38" s="83">
        <f>F38*(H38)</f>
        <v>6.8701521893289569E-2</v>
      </c>
      <c r="L38" s="84"/>
      <c r="N38" s="138">
        <f>B38-'Table 3.15-Route UAA NoPARS'!B38-'Table 3.16-Route UAA PARS'!B38</f>
        <v>0</v>
      </c>
      <c r="O38" s="138">
        <f>C38-'Table 3.15-Route UAA NoPARS'!C38-'Table 3.16-Route UAA PARS'!C38</f>
        <v>0</v>
      </c>
      <c r="P38" s="138">
        <f>D38-'Table 3.15-Route UAA NoPARS'!D38-'Table 3.16-Route UAA PARS'!D38</f>
        <v>0</v>
      </c>
    </row>
    <row r="39" spans="1:17" x14ac:dyDescent="0.25">
      <c r="A39" s="338" t="s">
        <v>102</v>
      </c>
      <c r="B39" s="135">
        <f>SUM(B35:B38)</f>
        <v>2085.6636853759665</v>
      </c>
      <c r="C39" s="46">
        <f>SUM(C35:C38)</f>
        <v>74421.593858134467</v>
      </c>
      <c r="D39" s="135">
        <f>SUM(D35:D38)</f>
        <v>1390034.8228447344</v>
      </c>
      <c r="E39" s="135"/>
      <c r="F39" s="83"/>
      <c r="G39" s="159"/>
      <c r="H39" s="54"/>
      <c r="I39" s="72"/>
      <c r="J39" s="46">
        <f>SUM(J35:J38)</f>
        <v>97765.823656263703</v>
      </c>
      <c r="K39" s="83">
        <f>SUMPRODUCT(K35:K38,D35:D38)/D39</f>
        <v>7.0333362912580827E-2</v>
      </c>
      <c r="L39" s="84"/>
      <c r="N39" s="138">
        <f>B39-'Table 3.15-Route UAA NoPARS'!B39-'Table 3.16-Route UAA PARS'!B39</f>
        <v>0</v>
      </c>
      <c r="O39" s="138">
        <f>C39-'Table 3.15-Route UAA NoPARS'!C39-'Table 3.16-Route UAA PARS'!C39</f>
        <v>0</v>
      </c>
      <c r="P39" s="138">
        <f>D39-'Table 3.15-Route UAA NoPARS'!D39-'Table 3.16-Route UAA PARS'!D39</f>
        <v>0</v>
      </c>
    </row>
    <row r="40" spans="1:17" ht="5.0999999999999996" customHeight="1" x14ac:dyDescent="0.25">
      <c r="A40" s="81"/>
      <c r="B40" s="135"/>
      <c r="C40" s="46"/>
      <c r="D40" s="135"/>
      <c r="E40" s="135"/>
      <c r="F40" s="83"/>
      <c r="G40" s="159"/>
      <c r="H40" s="54"/>
      <c r="I40" s="72"/>
      <c r="J40" s="46"/>
      <c r="K40" s="83"/>
      <c r="L40" s="84"/>
    </row>
    <row r="41" spans="1:17" x14ac:dyDescent="0.25">
      <c r="A41" s="81"/>
      <c r="B41" s="135"/>
      <c r="C41" s="46"/>
      <c r="D41" s="135"/>
      <c r="E41" s="135"/>
      <c r="F41" s="83"/>
      <c r="G41" s="159"/>
      <c r="H41" s="54"/>
      <c r="I41" s="72"/>
      <c r="J41" s="46"/>
      <c r="K41" s="83"/>
      <c r="L41" s="84"/>
    </row>
    <row r="42" spans="1:17" ht="15.6" x14ac:dyDescent="0.3">
      <c r="A42" s="158" t="s">
        <v>63</v>
      </c>
      <c r="L42" s="84"/>
    </row>
    <row r="43" spans="1:17" ht="15.6" x14ac:dyDescent="0.3">
      <c r="A43" s="158" t="s">
        <v>787</v>
      </c>
      <c r="L43" s="84"/>
    </row>
    <row r="44" spans="1:17" ht="26.4" x14ac:dyDescent="0.25">
      <c r="A44" s="4"/>
      <c r="B44" s="189" t="s">
        <v>248</v>
      </c>
      <c r="C44" s="146" t="s">
        <v>249</v>
      </c>
      <c r="D44" s="168" t="s">
        <v>250</v>
      </c>
      <c r="E44" s="168"/>
      <c r="F44" s="169" t="s">
        <v>207</v>
      </c>
      <c r="G44" s="159"/>
      <c r="H44" s="190" t="s">
        <v>246</v>
      </c>
      <c r="I44" s="159"/>
      <c r="J44" s="189" t="s">
        <v>110</v>
      </c>
      <c r="K44" s="41" t="s">
        <v>133</v>
      </c>
      <c r="L44" s="84"/>
    </row>
    <row r="45" spans="1:17" x14ac:dyDescent="0.25">
      <c r="A45" s="15" t="s">
        <v>385</v>
      </c>
      <c r="B45" s="135"/>
      <c r="C45" s="46"/>
      <c r="D45" s="135"/>
      <c r="E45" s="135"/>
      <c r="F45" s="83"/>
      <c r="G45" s="159"/>
      <c r="H45" s="54"/>
      <c r="I45" s="72"/>
      <c r="J45" s="46"/>
      <c r="K45" s="83"/>
      <c r="L45" s="84"/>
    </row>
    <row r="46" spans="1:17" ht="5.0999999999999996" customHeight="1" x14ac:dyDescent="0.25">
      <c r="A46" s="81"/>
      <c r="B46" s="135"/>
      <c r="C46" s="46"/>
      <c r="D46" s="135"/>
      <c r="E46" s="135"/>
      <c r="F46" s="83"/>
      <c r="G46" s="159"/>
      <c r="H46" s="54"/>
      <c r="I46" s="72"/>
      <c r="J46" s="46"/>
      <c r="K46" s="83"/>
      <c r="L46" s="84"/>
    </row>
    <row r="47" spans="1:17" x14ac:dyDescent="0.25">
      <c r="A47" s="89" t="s">
        <v>386</v>
      </c>
      <c r="B47" s="135"/>
      <c r="C47" s="46"/>
      <c r="D47" s="135"/>
      <c r="E47" s="135"/>
      <c r="F47" s="41"/>
      <c r="G47" s="159"/>
      <c r="H47" s="54"/>
      <c r="I47" s="72"/>
      <c r="J47" s="42"/>
      <c r="K47" s="41"/>
      <c r="L47" s="84"/>
    </row>
    <row r="48" spans="1:17" x14ac:dyDescent="0.25">
      <c r="A48" s="337" t="s">
        <v>135</v>
      </c>
      <c r="B48" s="135">
        <v>54.631318200372036</v>
      </c>
      <c r="C48" s="46">
        <v>2806.3892321550593</v>
      </c>
      <c r="D48" s="135">
        <v>43378.122725155074</v>
      </c>
      <c r="E48" s="135"/>
      <c r="F48" s="83">
        <f>C48/D48</f>
        <v>6.469595860421197E-2</v>
      </c>
      <c r="G48" s="159"/>
      <c r="H48" s="54">
        <v>1.2964905110516152</v>
      </c>
      <c r="I48" s="72"/>
      <c r="J48" s="46">
        <f>C48*H48</f>
        <v>3638.4570098064628</v>
      </c>
      <c r="K48" s="83">
        <f>F48*(H48)</f>
        <v>8.3877696433748913E-2</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x14ac:dyDescent="0.25">
      <c r="A49" s="338" t="s">
        <v>136</v>
      </c>
      <c r="B49" s="135">
        <v>14.301713464914117</v>
      </c>
      <c r="C49" s="46">
        <v>576.96368062158092</v>
      </c>
      <c r="D49" s="135">
        <v>19573.998079928886</v>
      </c>
      <c r="E49" s="135"/>
      <c r="F49" s="83">
        <f>C49/D49</f>
        <v>2.9476026219354624E-2</v>
      </c>
      <c r="G49" s="159"/>
      <c r="H49" s="54">
        <v>1.2111795318702914</v>
      </c>
      <c r="I49" s="72"/>
      <c r="J49" s="46">
        <f>C49*H49</f>
        <v>698.80660060140667</v>
      </c>
      <c r="K49" s="83">
        <f>F49*(H49)</f>
        <v>3.5700759637754369E-2</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x14ac:dyDescent="0.25">
      <c r="A50" s="337" t="s">
        <v>137</v>
      </c>
      <c r="B50" s="53">
        <v>6.3548097386902826</v>
      </c>
      <c r="C50" s="46">
        <v>422.82078541317759</v>
      </c>
      <c r="D50" s="53">
        <v>7090.184829678783</v>
      </c>
      <c r="E50" s="135"/>
      <c r="F50" s="83">
        <f>C50/D50</f>
        <v>5.9634663350847127E-2</v>
      </c>
      <c r="G50" s="159"/>
      <c r="H50" s="54">
        <v>1.5249384833271007</v>
      </c>
      <c r="I50" s="72"/>
      <c r="J50" s="46">
        <f>C50*H50</f>
        <v>644.77568722714454</v>
      </c>
      <c r="K50" s="83">
        <f>F50*(H50)</f>
        <v>9.093919308396306E-2</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x14ac:dyDescent="0.25">
      <c r="A51" s="337" t="s">
        <v>107</v>
      </c>
      <c r="B51" s="53">
        <v>0.32457524783423797</v>
      </c>
      <c r="C51" s="46">
        <v>12.874796525741585</v>
      </c>
      <c r="D51" s="53">
        <v>429.52938767209605</v>
      </c>
      <c r="E51" s="135"/>
      <c r="F51" s="83">
        <f>C51/D51</f>
        <v>2.9974192442381246E-2</v>
      </c>
      <c r="G51" s="159"/>
      <c r="H51" s="54">
        <v>1.2111795318702914</v>
      </c>
      <c r="I51" s="72"/>
      <c r="J51" s="46">
        <f>C51*H51</f>
        <v>15.593690028972947</v>
      </c>
      <c r="K51" s="83">
        <f>F51*(H51)</f>
        <v>3.6304128370553343E-2</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x14ac:dyDescent="0.25">
      <c r="A52" s="337" t="s">
        <v>277</v>
      </c>
      <c r="B52" s="53">
        <f>SUM(B48:B51)</f>
        <v>75.612416651810662</v>
      </c>
      <c r="C52" s="46">
        <f>SUM(C48:C51)</f>
        <v>3819.0484947155592</v>
      </c>
      <c r="D52" s="53">
        <f>SUM(D48:D51)</f>
        <v>70471.83502243484</v>
      </c>
      <c r="E52" s="135"/>
      <c r="F52" s="41"/>
      <c r="G52" s="159"/>
      <c r="H52" s="54"/>
      <c r="I52" s="72"/>
      <c r="J52" s="46">
        <f>SUM(J48:J51)</f>
        <v>4997.6329876639866</v>
      </c>
      <c r="K52" s="83">
        <f>SUMPRODUCT(K48:K51,D48:D51)/D52</f>
        <v>7.0916742640133909E-2</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7" x14ac:dyDescent="0.25">
      <c r="A53" s="21"/>
      <c r="B53" s="135"/>
      <c r="C53" s="135"/>
      <c r="D53" s="135"/>
      <c r="E53" s="135"/>
      <c r="F53" s="83"/>
      <c r="G53" s="159"/>
      <c r="H53" s="54"/>
      <c r="I53" s="72"/>
      <c r="J53" s="46"/>
      <c r="K53" s="83"/>
      <c r="L53" s="84"/>
    </row>
    <row r="54" spans="1:17" ht="5.0999999999999996" customHeight="1" x14ac:dyDescent="0.25">
      <c r="B54" s="57"/>
      <c r="C54" s="57"/>
      <c r="D54" s="57"/>
      <c r="E54" s="40"/>
      <c r="F54" s="41"/>
      <c r="G54" s="159"/>
      <c r="H54" s="54"/>
      <c r="I54" s="72"/>
      <c r="J54" s="42"/>
      <c r="K54" s="41"/>
    </row>
    <row r="55" spans="1:17" x14ac:dyDescent="0.25">
      <c r="A55" s="89" t="s">
        <v>387</v>
      </c>
      <c r="B55" s="57"/>
      <c r="C55" s="57"/>
      <c r="D55" s="57"/>
      <c r="E55" s="40"/>
      <c r="F55" s="41"/>
      <c r="G55" s="159"/>
      <c r="H55" s="54"/>
      <c r="I55" s="72"/>
      <c r="J55" s="42"/>
      <c r="K55" s="41"/>
    </row>
    <row r="56" spans="1:17" x14ac:dyDescent="0.25">
      <c r="A56" s="337" t="s">
        <v>135</v>
      </c>
      <c r="B56" s="135">
        <v>31.162169876858169</v>
      </c>
      <c r="C56" s="46">
        <v>1551.8977611329385</v>
      </c>
      <c r="D56" s="135">
        <v>26436.40334321597</v>
      </c>
      <c r="E56" s="135"/>
      <c r="F56" s="83">
        <f>C56/D56</f>
        <v>5.8703059602515172E-2</v>
      </c>
      <c r="G56" s="159"/>
      <c r="H56" s="54">
        <v>1.2964905110516152</v>
      </c>
      <c r="I56" s="72"/>
      <c r="J56" s="46">
        <f>C56*H56</f>
        <v>2012.0207214311008</v>
      </c>
      <c r="K56" s="83">
        <f>F56*(H56)</f>
        <v>7.6107959744358314E-2</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x14ac:dyDescent="0.25">
      <c r="A57" s="338" t="s">
        <v>136</v>
      </c>
      <c r="B57" s="135">
        <v>12.016987147800279</v>
      </c>
      <c r="C57" s="46">
        <v>497.95517755733164</v>
      </c>
      <c r="D57" s="135">
        <v>12338.542410179849</v>
      </c>
      <c r="E57" s="135"/>
      <c r="F57" s="83">
        <f>C57/D57</f>
        <v>4.0357698746206552E-2</v>
      </c>
      <c r="G57" s="159"/>
      <c r="H57" s="54">
        <v>1.2111795318702914</v>
      </c>
      <c r="I57" s="72"/>
      <c r="J57" s="46">
        <f>C57*H57</f>
        <v>603.11311884627673</v>
      </c>
      <c r="K57" s="83">
        <f>F57*(H57)</f>
        <v>4.8880418674792696E-2</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x14ac:dyDescent="0.25">
      <c r="A58" s="337" t="s">
        <v>137</v>
      </c>
      <c r="B58" s="53">
        <v>3.6861045561480652</v>
      </c>
      <c r="C58" s="46">
        <v>123.57617402010717</v>
      </c>
      <c r="D58" s="53">
        <v>3895.7648041281868</v>
      </c>
      <c r="E58" s="135"/>
      <c r="F58" s="83">
        <f>C58/D58</f>
        <v>3.1720645427351882E-2</v>
      </c>
      <c r="G58" s="159"/>
      <c r="H58" s="54">
        <v>1.5249384833271007</v>
      </c>
      <c r="I58" s="72"/>
      <c r="J58" s="46">
        <f>C58*H58</f>
        <v>188.4460633855881</v>
      </c>
      <c r="K58" s="83">
        <f>F58*(H58)</f>
        <v>4.8372032928142711E-2</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x14ac:dyDescent="0.25">
      <c r="A59" s="337" t="s">
        <v>107</v>
      </c>
      <c r="B59" s="53">
        <v>3.0590245755100196E-2</v>
      </c>
      <c r="C59" s="46">
        <v>1.2134110422692574</v>
      </c>
      <c r="D59" s="53">
        <v>66.334283033697147</v>
      </c>
      <c r="E59" s="135"/>
      <c r="F59" s="83">
        <f>C59/D59</f>
        <v>1.8292366884448828E-2</v>
      </c>
      <c r="G59" s="159"/>
      <c r="H59" s="54">
        <v>1.2111795318702914</v>
      </c>
      <c r="I59" s="72"/>
      <c r="J59" s="46">
        <f>C59*H59</f>
        <v>1.4696586181419216</v>
      </c>
      <c r="K59" s="83">
        <f>F59*(H59)</f>
        <v>2.215534035990635E-2</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x14ac:dyDescent="0.25">
      <c r="A60" s="337" t="s">
        <v>277</v>
      </c>
      <c r="B60" s="53">
        <f>SUM(B56:B59)</f>
        <v>46.895851826561618</v>
      </c>
      <c r="C60" s="46">
        <f>SUM(C56:C59)</f>
        <v>2174.6425237526469</v>
      </c>
      <c r="D60" s="53">
        <f>SUM(D56:D59)</f>
        <v>42737.044840557704</v>
      </c>
      <c r="E60" s="135"/>
      <c r="F60" s="41"/>
      <c r="G60" s="159"/>
      <c r="H60" s="54"/>
      <c r="I60" s="72"/>
      <c r="J60" s="46">
        <f>SUM(J56:J59)</f>
        <v>2805.0495622811081</v>
      </c>
      <c r="K60" s="83">
        <f>SUMPRODUCT(K56:K59,D56:D59)/D60</f>
        <v>6.5635084801630897E-2</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1:17" ht="5.0999999999999996" customHeight="1" x14ac:dyDescent="0.25">
      <c r="B61" s="135"/>
      <c r="C61" s="135"/>
      <c r="D61" s="135"/>
      <c r="E61" s="135"/>
      <c r="F61" s="41"/>
      <c r="G61" s="159"/>
      <c r="H61" s="54"/>
      <c r="I61" s="72"/>
      <c r="J61" s="42"/>
      <c r="K61" s="41"/>
    </row>
    <row r="62" spans="1:17" x14ac:dyDescent="0.25">
      <c r="A62" s="89" t="s">
        <v>388</v>
      </c>
      <c r="B62" s="11"/>
      <c r="C62" s="11"/>
      <c r="D62" s="11"/>
      <c r="E62" s="11"/>
      <c r="F62" s="11"/>
      <c r="G62" s="11"/>
      <c r="I62" s="11"/>
      <c r="J62" s="11"/>
      <c r="K62" s="11"/>
    </row>
    <row r="63" spans="1:17" x14ac:dyDescent="0.25">
      <c r="A63" s="337" t="s">
        <v>135</v>
      </c>
      <c r="B63" s="135">
        <v>38.810317891005859</v>
      </c>
      <c r="C63" s="46">
        <v>1795.8101540309997</v>
      </c>
      <c r="D63" s="135">
        <v>32818.942091086959</v>
      </c>
      <c r="E63" s="11"/>
      <c r="F63" s="83">
        <f>C63/D63</f>
        <v>5.4718709367499986E-2</v>
      </c>
      <c r="G63" s="11"/>
      <c r="H63" s="54">
        <v>1.2964905110516152</v>
      </c>
      <c r="I63" s="11"/>
      <c r="J63" s="46">
        <f>C63*H63</f>
        <v>2328.2508243513307</v>
      </c>
      <c r="K63" s="83">
        <f>F63*(H63)</f>
        <v>7.0942287471954857E-2</v>
      </c>
      <c r="N63" s="138">
        <f>B63-'Table 3.15-Route UAA NoPARS'!B63-'Table 3.16-Route UAA PARS'!B63</f>
        <v>7.9936057773011271E-15</v>
      </c>
      <c r="O63" s="138">
        <f>C63-'Table 3.15-Route UAA NoPARS'!C63-'Table 3.16-Route UAA PARS'!C63</f>
        <v>0</v>
      </c>
      <c r="P63" s="138">
        <f>D63-'Table 3.15-Route UAA NoPARS'!D63-'Table 3.16-Route UAA PARS'!D63</f>
        <v>0</v>
      </c>
      <c r="Q63" s="138">
        <f>J63-'Table 3.15-Route UAA NoPARS'!J63-'Table 3.16-Route UAA PARS'!J63</f>
        <v>4.5474735088646412E-13</v>
      </c>
    </row>
    <row r="64" spans="1:17" x14ac:dyDescent="0.25">
      <c r="A64" s="338" t="s">
        <v>136</v>
      </c>
      <c r="B64" s="135">
        <v>15.490465015863306</v>
      </c>
      <c r="C64" s="46">
        <v>690.68101926852557</v>
      </c>
      <c r="D64" s="135">
        <v>15169.343705254616</v>
      </c>
      <c r="E64" s="11"/>
      <c r="F64" s="83">
        <f>C64/D64</f>
        <v>4.5531371210824081E-2</v>
      </c>
      <c r="G64" s="11"/>
      <c r="H64" s="54">
        <v>1.2111795318702914</v>
      </c>
      <c r="I64" s="11"/>
      <c r="J64" s="46">
        <f>C64*H64</f>
        <v>836.5387135893485</v>
      </c>
      <c r="K64" s="83">
        <f>F64*(H64)</f>
        <v>5.5146664868538371E-2</v>
      </c>
      <c r="N64" s="138">
        <f>B64-'Table 3.15-Route UAA NoPARS'!B64-'Table 3.16-Route UAA PARS'!B64</f>
        <v>1.9984014443252818E-15</v>
      </c>
      <c r="O64" s="138">
        <f>C64-'Table 3.15-Route UAA NoPARS'!C64-'Table 3.16-Route UAA PARS'!C64</f>
        <v>7.1054273576010019E-14</v>
      </c>
      <c r="P64" s="138">
        <f>D64-'Table 3.15-Route UAA NoPARS'!D64-'Table 3.16-Route UAA PARS'!D64</f>
        <v>0</v>
      </c>
      <c r="Q64" s="138">
        <f>J64-'Table 3.15-Route UAA NoPARS'!J64-'Table 3.16-Route UAA PARS'!J64</f>
        <v>9.2370555648813024E-14</v>
      </c>
    </row>
    <row r="65" spans="1:17" x14ac:dyDescent="0.25">
      <c r="A65" s="337" t="s">
        <v>137</v>
      </c>
      <c r="B65" s="53">
        <v>9.6377949129255231</v>
      </c>
      <c r="C65" s="46">
        <v>969.35107842601008</v>
      </c>
      <c r="D65" s="53">
        <v>6428.7642379726594</v>
      </c>
      <c r="E65" s="11"/>
      <c r="F65" s="83">
        <f>C65/D65</f>
        <v>0.15078342315002977</v>
      </c>
      <c r="G65" s="11"/>
      <c r="H65" s="54">
        <v>1.5249384833271007</v>
      </c>
      <c r="I65" s="11"/>
      <c r="J65" s="46">
        <f>C65*H65</f>
        <v>1478.2007633464493</v>
      </c>
      <c r="K65" s="83">
        <f>F65*(H65)</f>
        <v>0.22993544460927484</v>
      </c>
      <c r="N65" s="138">
        <f>B65-'Table 3.15-Route UAA NoPARS'!B65-'Table 3.16-Route UAA PARS'!B65</f>
        <v>-8.8817841970012523E-16</v>
      </c>
      <c r="O65" s="138">
        <f>C65-'Table 3.15-Route UAA NoPARS'!C65-'Table 3.16-Route UAA PARS'!C65</f>
        <v>-1.0658141036401503E-13</v>
      </c>
      <c r="P65" s="138">
        <f>D65-'Table 3.15-Route UAA NoPARS'!D65-'Table 3.16-Route UAA PARS'!D65</f>
        <v>0</v>
      </c>
      <c r="Q65" s="138">
        <f>J65-'Table 3.15-Route UAA NoPARS'!J65-'Table 3.16-Route UAA PARS'!J65</f>
        <v>0</v>
      </c>
    </row>
    <row r="66" spans="1:17" x14ac:dyDescent="0.25">
      <c r="A66" s="337" t="s">
        <v>107</v>
      </c>
      <c r="B66" s="53">
        <v>0.34823022796959152</v>
      </c>
      <c r="C66" s="46">
        <v>13.813109160778598</v>
      </c>
      <c r="D66" s="53">
        <v>377.95034749227403</v>
      </c>
      <c r="E66" s="11"/>
      <c r="F66" s="83">
        <f>C66/D66</f>
        <v>3.6547417544207872E-2</v>
      </c>
      <c r="G66" s="11"/>
      <c r="H66" s="54">
        <v>1.2111795318702914</v>
      </c>
      <c r="I66" s="11"/>
      <c r="J66" s="46">
        <f>C66*H66</f>
        <v>16.730155087025057</v>
      </c>
      <c r="K66" s="83">
        <f>F66*(H66)</f>
        <v>4.4265484072261767E-2</v>
      </c>
      <c r="N66" s="138">
        <f>B66-'Table 3.15-Route UAA NoPARS'!B66-'Table 3.16-Route UAA PARS'!B66</f>
        <v>0</v>
      </c>
      <c r="O66" s="138">
        <f>C66-'Table 3.15-Route UAA NoPARS'!C66-'Table 3.16-Route UAA PARS'!C66</f>
        <v>0</v>
      </c>
      <c r="P66" s="138">
        <f>D66-'Table 3.15-Route UAA NoPARS'!D66-'Table 3.16-Route UAA PARS'!D66</f>
        <v>0</v>
      </c>
      <c r="Q66" s="138">
        <f>J66-'Table 3.15-Route UAA NoPARS'!J66-'Table 3.16-Route UAA PARS'!J66</f>
        <v>0</v>
      </c>
    </row>
    <row r="67" spans="1:17" x14ac:dyDescent="0.25">
      <c r="A67" s="337" t="s">
        <v>277</v>
      </c>
      <c r="B67" s="53">
        <f>SUM(B63:B66)</f>
        <v>64.286808047764282</v>
      </c>
      <c r="C67" s="46">
        <f>SUM(C63:C66)</f>
        <v>3469.6553608863142</v>
      </c>
      <c r="D67" s="53">
        <f>SUM(D63:D66)</f>
        <v>54795.000381806509</v>
      </c>
      <c r="E67" s="11"/>
      <c r="F67" s="11"/>
      <c r="G67" s="11"/>
      <c r="I67" s="11"/>
      <c r="J67" s="46">
        <f>SUM(J63:J66)</f>
        <v>4659.7204563741534</v>
      </c>
      <c r="K67" s="83">
        <f>SUMPRODUCT(K63:K66,D63:D66)/D67</f>
        <v>8.5039153643683751E-2</v>
      </c>
      <c r="N67" s="138">
        <f>B67-'Table 3.15-Route UAA NoPARS'!B67-'Table 3.16-Route UAA PARS'!B67</f>
        <v>1.5099033134902129E-14</v>
      </c>
      <c r="O67" s="138">
        <f>C67-'Table 3.15-Route UAA NoPARS'!C67-'Table 3.16-Route UAA PARS'!C67</f>
        <v>6.2527760746888816E-13</v>
      </c>
      <c r="P67" s="138">
        <f>D67-'Table 3.15-Route UAA NoPARS'!D67-'Table 3.16-Route UAA PARS'!D67</f>
        <v>0</v>
      </c>
      <c r="Q67" s="138">
        <f>J67-'Table 3.15-Route UAA NoPARS'!J67-'Table 3.16-Route UAA PARS'!J67</f>
        <v>0</v>
      </c>
    </row>
    <row r="68" spans="1:17" ht="5.0999999999999996" customHeight="1" x14ac:dyDescent="0.25">
      <c r="A68" s="21"/>
      <c r="B68" s="135"/>
      <c r="C68" s="46"/>
      <c r="D68" s="135"/>
      <c r="E68" s="135"/>
      <c r="F68" s="41"/>
      <c r="G68" s="159"/>
      <c r="H68" s="54"/>
      <c r="I68" s="72"/>
      <c r="J68" s="42"/>
      <c r="K68" s="41"/>
    </row>
    <row r="69" spans="1:17" ht="12.75" customHeight="1" x14ac:dyDescent="0.25">
      <c r="A69" s="89" t="s">
        <v>389</v>
      </c>
      <c r="B69" s="135"/>
      <c r="C69" s="46"/>
      <c r="D69" s="135"/>
      <c r="E69" s="135"/>
      <c r="F69" s="83"/>
      <c r="G69" s="159"/>
      <c r="H69" s="54"/>
      <c r="I69" s="72"/>
      <c r="J69" s="46"/>
      <c r="K69" s="83"/>
    </row>
    <row r="70" spans="1:17" ht="12.75" customHeight="1" x14ac:dyDescent="0.25">
      <c r="A70" s="337" t="s">
        <v>135</v>
      </c>
      <c r="B70" s="135">
        <f t="shared" ref="B70:D73" si="1">SUM(B48,B56,B63)</f>
        <v>124.60380596823606</v>
      </c>
      <c r="C70" s="46">
        <f t="shared" si="1"/>
        <v>6154.0971473189975</v>
      </c>
      <c r="D70" s="135">
        <f t="shared" si="1"/>
        <v>102633.46815945802</v>
      </c>
      <c r="E70" s="135"/>
      <c r="F70" s="83">
        <f>C70/D70</f>
        <v>5.9961894084662445E-2</v>
      </c>
      <c r="G70" s="159"/>
      <c r="H70" s="54">
        <v>1.2964905110516152</v>
      </c>
      <c r="I70" s="72"/>
      <c r="J70" s="46">
        <f>C70*H70</f>
        <v>7978.7285555888939</v>
      </c>
      <c r="K70" s="83">
        <f>F70*(H70)</f>
        <v>7.774002670544683E-2</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x14ac:dyDescent="0.25">
      <c r="A71" s="338" t="s">
        <v>136</v>
      </c>
      <c r="B71" s="135">
        <f t="shared" si="1"/>
        <v>41.809165628577702</v>
      </c>
      <c r="C71" s="46">
        <f t="shared" si="1"/>
        <v>1765.5998774474383</v>
      </c>
      <c r="D71" s="135">
        <f t="shared" si="1"/>
        <v>47081.884195363353</v>
      </c>
      <c r="E71" s="135"/>
      <c r="F71" s="83">
        <f>C71/D71</f>
        <v>3.7500620623448104E-2</v>
      </c>
      <c r="G71" s="159"/>
      <c r="H71" s="54">
        <v>1.2111795318702914</v>
      </c>
      <c r="I71" s="72"/>
      <c r="J71" s="46">
        <f>C71*H71</f>
        <v>2138.4584330370321</v>
      </c>
      <c r="K71" s="83">
        <f>F71*(H71)</f>
        <v>4.5419984131553272E-2</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5.6843418860808015E-13</v>
      </c>
    </row>
    <row r="72" spans="1:17" ht="12.75" customHeight="1" x14ac:dyDescent="0.25">
      <c r="A72" s="337" t="s">
        <v>137</v>
      </c>
      <c r="B72" s="135">
        <f t="shared" si="1"/>
        <v>19.678709207763873</v>
      </c>
      <c r="C72" s="46">
        <f t="shared" si="1"/>
        <v>1515.748037859295</v>
      </c>
      <c r="D72" s="135">
        <f t="shared" si="1"/>
        <v>17414.71387177963</v>
      </c>
      <c r="E72" s="135"/>
      <c r="F72" s="83">
        <f>C72/D72</f>
        <v>8.7038354406474033E-2</v>
      </c>
      <c r="G72" s="159"/>
      <c r="H72" s="54">
        <v>1.5249384833271007</v>
      </c>
      <c r="I72" s="72"/>
      <c r="J72" s="46">
        <f>C72*H72</f>
        <v>2311.4225139591822</v>
      </c>
      <c r="K72" s="83">
        <f>F72*(H72)</f>
        <v>0.13272813615989518</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x14ac:dyDescent="0.25">
      <c r="A73" s="337" t="s">
        <v>107</v>
      </c>
      <c r="B73" s="135">
        <f t="shared" si="1"/>
        <v>0.70339572155892971</v>
      </c>
      <c r="C73" s="46">
        <f t="shared" si="1"/>
        <v>27.901316728789439</v>
      </c>
      <c r="D73" s="135">
        <f t="shared" si="1"/>
        <v>873.81401819806729</v>
      </c>
      <c r="E73" s="135"/>
      <c r="F73" s="83">
        <f>C73/D73</f>
        <v>3.193049796377271E-2</v>
      </c>
      <c r="G73" s="159"/>
      <c r="H73" s="54">
        <v>1.2111795318702914</v>
      </c>
      <c r="I73" s="72"/>
      <c r="J73" s="46">
        <f>C73*H73</f>
        <v>33.793503734139925</v>
      </c>
      <c r="K73" s="83">
        <f>F73*(H73)</f>
        <v>3.8673565576147526E-2</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x14ac:dyDescent="0.25">
      <c r="A74" s="337" t="s">
        <v>102</v>
      </c>
      <c r="B74" s="135">
        <f>SUM(B70:B73)</f>
        <v>186.79507652613654</v>
      </c>
      <c r="C74" s="46">
        <f>SUM(C70:C73)</f>
        <v>9463.3463793545216</v>
      </c>
      <c r="D74" s="135">
        <f>SUM(D70:D73)</f>
        <v>168003.88024479905</v>
      </c>
      <c r="E74" s="135"/>
      <c r="F74" s="41"/>
      <c r="G74" s="159"/>
      <c r="H74" s="54"/>
      <c r="I74" s="72"/>
      <c r="J74" s="46">
        <f>SUM(J70:J73)</f>
        <v>12462.403006319248</v>
      </c>
      <c r="K74" s="83">
        <f>SUMPRODUCT(K70:K73,D70:D73)/D74</f>
        <v>7.417925698001876E-2</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7" ht="5.0999999999999996" customHeight="1" x14ac:dyDescent="0.25">
      <c r="A75" s="21"/>
      <c r="B75" s="135"/>
      <c r="C75" s="46"/>
      <c r="D75" s="135"/>
      <c r="E75" s="135"/>
      <c r="F75" s="41"/>
      <c r="G75" s="159"/>
      <c r="H75" s="54"/>
      <c r="I75" s="72"/>
      <c r="J75" s="42"/>
      <c r="K75" s="41"/>
    </row>
    <row r="76" spans="1:17" x14ac:dyDescent="0.25">
      <c r="A76" s="81"/>
      <c r="B76" s="135"/>
      <c r="C76" s="46"/>
      <c r="D76" s="135"/>
      <c r="E76" s="135"/>
      <c r="F76" s="83"/>
      <c r="G76" s="159"/>
      <c r="H76" s="54"/>
      <c r="I76" s="72"/>
      <c r="J76" s="46"/>
      <c r="K76" s="83"/>
      <c r="L76" s="84"/>
    </row>
    <row r="77" spans="1:17" x14ac:dyDescent="0.25">
      <c r="A77" s="15" t="s">
        <v>285</v>
      </c>
      <c r="B77" s="48"/>
      <c r="C77" s="42"/>
      <c r="D77" s="40"/>
      <c r="E77" s="40"/>
      <c r="F77" s="41"/>
      <c r="G77" s="159"/>
      <c r="H77" s="54"/>
      <c r="I77" s="72"/>
      <c r="J77" s="42"/>
      <c r="K77" s="41"/>
    </row>
    <row r="78" spans="1:17" x14ac:dyDescent="0.25">
      <c r="A78" s="337" t="s">
        <v>135</v>
      </c>
      <c r="B78" s="135">
        <v>703.64378057283784</v>
      </c>
      <c r="C78" s="46">
        <v>40822.226777710654</v>
      </c>
      <c r="D78" s="135">
        <v>1439516.8125376557</v>
      </c>
      <c r="E78" s="135"/>
      <c r="F78" s="83">
        <f>C78/D78</f>
        <v>2.8358284128510519E-2</v>
      </c>
      <c r="G78" s="159"/>
      <c r="H78" s="54">
        <v>1.2964905110516152</v>
      </c>
      <c r="I78" s="72"/>
      <c r="J78" s="46">
        <f>C78*H78</f>
        <v>52925.629657299018</v>
      </c>
      <c r="K78" s="83">
        <f>F78*(H78)</f>
        <v>3.676624628231951E-2</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x14ac:dyDescent="0.25">
      <c r="A79" s="338" t="s">
        <v>136</v>
      </c>
      <c r="B79" s="135">
        <v>216.75256506274081</v>
      </c>
      <c r="C79" s="46">
        <v>8208.1658936436088</v>
      </c>
      <c r="D79" s="135">
        <v>515948.95998143888</v>
      </c>
      <c r="E79" s="135"/>
      <c r="F79" s="83">
        <f>C79/D79</f>
        <v>1.5908871865811872E-2</v>
      </c>
      <c r="G79" s="159"/>
      <c r="H79" s="54">
        <v>1.2111795318702914</v>
      </c>
      <c r="I79" s="72"/>
      <c r="J79" s="46">
        <f>C79*H79</f>
        <v>9941.5625245769588</v>
      </c>
      <c r="K79" s="83">
        <f>F79*(H79)</f>
        <v>1.9268499979018472E-2</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x14ac:dyDescent="0.25">
      <c r="A80" s="337" t="s">
        <v>137</v>
      </c>
      <c r="B80" s="135">
        <v>81.548545184958087</v>
      </c>
      <c r="C80" s="46">
        <v>3604.8126656284799</v>
      </c>
      <c r="D80" s="135">
        <v>210912.67621654578</v>
      </c>
      <c r="E80" s="135"/>
      <c r="F80" s="83">
        <f>C80/D80</f>
        <v>1.7091493647007679E-2</v>
      </c>
      <c r="G80" s="159"/>
      <c r="H80" s="54">
        <v>1.5249384833271007</v>
      </c>
      <c r="I80" s="72"/>
      <c r="J80" s="46">
        <f>C80*H80</f>
        <v>5497.1175590018174</v>
      </c>
      <c r="K80" s="83">
        <f>F80*(H80)</f>
        <v>2.6063476399862666E-2</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8" x14ac:dyDescent="0.25">
      <c r="A81" s="337" t="s">
        <v>107</v>
      </c>
      <c r="B81" s="135">
        <v>5.5879980109239726</v>
      </c>
      <c r="C81" s="46">
        <v>221.65688190011687</v>
      </c>
      <c r="D81" s="135">
        <v>9343.1051084819337</v>
      </c>
      <c r="E81" s="135"/>
      <c r="F81" s="83">
        <f>C81/D81</f>
        <v>2.3724113057327217E-2</v>
      </c>
      <c r="G81" s="159"/>
      <c r="H81" s="54">
        <v>1.2111795318702914</v>
      </c>
      <c r="I81" s="72"/>
      <c r="J81" s="46">
        <f>C81*H81</f>
        <v>268.46627845561204</v>
      </c>
      <c r="K81" s="83">
        <f>F81*(H81)</f>
        <v>2.8734160146811447E-2</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8" x14ac:dyDescent="0.25">
      <c r="A82" s="337" t="s">
        <v>102</v>
      </c>
      <c r="B82" s="135">
        <f>SUM(B78:B81)</f>
        <v>1007.5328888314608</v>
      </c>
      <c r="C82" s="46">
        <f>SUM(C78:C81)</f>
        <v>52856.862218882859</v>
      </c>
      <c r="D82" s="135">
        <f>SUM(D78:D81)</f>
        <v>2175721.5538441222</v>
      </c>
      <c r="E82" s="135"/>
      <c r="F82" s="83">
        <f>C82/D82</f>
        <v>2.4293946128121937E-2</v>
      </c>
      <c r="G82" s="159"/>
      <c r="H82" s="54"/>
      <c r="I82" s="72"/>
      <c r="J82" s="46">
        <f>SUM(J78:J81)</f>
        <v>68632.776019333411</v>
      </c>
      <c r="K82" s="83">
        <f>SUMPRODUCT(K78:K81,D78:D81)/D82</f>
        <v>3.1544834355329704E-2</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1:18" ht="5.0999999999999996" customHeight="1" x14ac:dyDescent="0.25">
      <c r="B83" s="57"/>
      <c r="C83" s="46"/>
      <c r="D83" s="44"/>
      <c r="E83" s="44"/>
      <c r="F83" s="45"/>
      <c r="G83" s="23"/>
      <c r="H83" s="55"/>
      <c r="I83" s="79"/>
      <c r="J83" s="46"/>
      <c r="K83" s="41"/>
    </row>
    <row r="84" spans="1:18" ht="12.75" customHeight="1" x14ac:dyDescent="0.25"/>
    <row r="85" spans="1:18" ht="15.6" x14ac:dyDescent="0.3">
      <c r="A85" s="158" t="s">
        <v>64</v>
      </c>
    </row>
    <row r="86" spans="1:18" ht="15.6" x14ac:dyDescent="0.3">
      <c r="A86" s="158" t="s">
        <v>787</v>
      </c>
    </row>
    <row r="87" spans="1:18" ht="26.4" x14ac:dyDescent="0.25">
      <c r="A87" s="4"/>
      <c r="B87" s="189" t="s">
        <v>223</v>
      </c>
      <c r="C87" s="146" t="s">
        <v>217</v>
      </c>
      <c r="D87" s="168" t="s">
        <v>222</v>
      </c>
      <c r="E87" s="168"/>
      <c r="F87" s="169" t="s">
        <v>207</v>
      </c>
      <c r="G87" s="159"/>
      <c r="H87" s="190" t="s">
        <v>246</v>
      </c>
      <c r="I87" s="159"/>
      <c r="J87" s="189" t="s">
        <v>110</v>
      </c>
      <c r="K87" s="41" t="s">
        <v>133</v>
      </c>
    </row>
    <row r="88" spans="1:18" x14ac:dyDescent="0.25">
      <c r="A88" s="25" t="s">
        <v>390</v>
      </c>
      <c r="B88" s="57"/>
      <c r="C88" s="46"/>
      <c r="D88" s="44"/>
      <c r="E88" s="44"/>
      <c r="F88" s="45"/>
      <c r="G88" s="23"/>
      <c r="H88" s="55"/>
      <c r="I88" s="79"/>
      <c r="J88" s="46"/>
      <c r="K88" s="41"/>
      <c r="N88" s="63"/>
    </row>
    <row r="89" spans="1:18" x14ac:dyDescent="0.25">
      <c r="A89" s="21" t="s">
        <v>186</v>
      </c>
      <c r="B89" s="57"/>
      <c r="C89" s="46"/>
      <c r="D89" s="44"/>
      <c r="E89" s="44"/>
      <c r="F89" s="45"/>
      <c r="G89" s="23"/>
      <c r="H89" s="55"/>
      <c r="I89" s="79"/>
      <c r="J89" s="46"/>
      <c r="K89" s="41"/>
      <c r="N89" s="352"/>
      <c r="O89" s="352"/>
      <c r="P89" s="352"/>
    </row>
    <row r="90" spans="1:18" x14ac:dyDescent="0.25">
      <c r="A90" s="81" t="s">
        <v>138</v>
      </c>
      <c r="B90" s="56" t="s">
        <v>106</v>
      </c>
      <c r="C90" s="46">
        <f>SUM('Table 3.17-No Record Mail'!F6,'Table 3.17-No Record Mail'!F12)</f>
        <v>898.98229860203583</v>
      </c>
      <c r="D90" s="40">
        <v>16034.602683479905</v>
      </c>
      <c r="E90" s="184" t="s">
        <v>239</v>
      </c>
      <c r="F90" s="83">
        <f>C90/D90</f>
        <v>5.6065143386947611E-2</v>
      </c>
      <c r="G90" s="285" t="s">
        <v>240</v>
      </c>
      <c r="H90" s="54">
        <v>1.302844966601308</v>
      </c>
      <c r="I90" s="72"/>
      <c r="J90" s="46">
        <f>C90*H90</f>
        <v>1171.2345627973364</v>
      </c>
      <c r="K90" s="83">
        <f>F90*(H90)</f>
        <v>7.3044189863465309E-2</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8" x14ac:dyDescent="0.25">
      <c r="A91" s="81" t="s">
        <v>781</v>
      </c>
      <c r="B91" s="56" t="s">
        <v>106</v>
      </c>
      <c r="C91" s="46">
        <f>SUM('Table 3.17-No Record Mail'!F7:F8,'Table 3.17-No Record Mail'!F13:F14)</f>
        <v>3466.2030229461557</v>
      </c>
      <c r="D91" s="40">
        <v>16034.602683479905</v>
      </c>
      <c r="E91" s="184" t="s">
        <v>239</v>
      </c>
      <c r="F91" s="83">
        <f>C91/D91</f>
        <v>0.21617018465429816</v>
      </c>
      <c r="G91" s="285" t="s">
        <v>240</v>
      </c>
      <c r="H91" s="340">
        <v>1.6624309879114112</v>
      </c>
      <c r="I91" s="72"/>
      <c r="J91" s="46">
        <f>C91*H91</f>
        <v>5762.3233157378972</v>
      </c>
      <c r="K91" s="83">
        <f>F91*(H91)</f>
        <v>0.35936801363183707</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8" x14ac:dyDescent="0.25">
      <c r="A92" s="21" t="s">
        <v>187</v>
      </c>
      <c r="B92" s="56"/>
      <c r="C92" s="42"/>
      <c r="D92" s="40"/>
      <c r="E92" s="40"/>
      <c r="F92" s="41"/>
      <c r="G92" s="159"/>
      <c r="H92" s="54"/>
      <c r="I92" s="72"/>
      <c r="J92" s="42"/>
      <c r="K92" s="41"/>
    </row>
    <row r="93" spans="1:18" x14ac:dyDescent="0.25">
      <c r="A93" s="81" t="s">
        <v>138</v>
      </c>
      <c r="B93" s="56" t="s">
        <v>106</v>
      </c>
      <c r="C93" s="46">
        <f>'Table 3.17-No Record Mail'!F18</f>
        <v>243.06941249516831</v>
      </c>
      <c r="D93" s="40">
        <v>4674.6995744302358</v>
      </c>
      <c r="E93" s="184" t="s">
        <v>239</v>
      </c>
      <c r="F93" s="83">
        <f>C93/D93</f>
        <v>5.1996798644497751E-2</v>
      </c>
      <c r="G93" s="285" t="s">
        <v>240</v>
      </c>
      <c r="H93" s="54">
        <v>1.302844966601308</v>
      </c>
      <c r="I93" s="72"/>
      <c r="J93" s="46">
        <f>C93*H93</f>
        <v>316.68176060406711</v>
      </c>
      <c r="K93" s="83">
        <f>F93*(H93)</f>
        <v>6.7743767393365614E-2</v>
      </c>
      <c r="O93" s="138">
        <f>C93-'Table 3.15-Route UAA NoPARS'!C93-'Table 3.16-Route UAA PARS'!C93</f>
        <v>0</v>
      </c>
      <c r="P93" s="138">
        <f>D93-'Table 3.15-Route UAA NoPARS'!D93-'Table 3.16-Route UAA PARS'!D93</f>
        <v>0</v>
      </c>
      <c r="Q93" s="138">
        <f>J93-'Table 3.15-Route UAA NoPARS'!J93-'Table 3.16-Route UAA PARS'!J93</f>
        <v>0</v>
      </c>
    </row>
    <row r="94" spans="1:18" x14ac:dyDescent="0.25">
      <c r="A94" s="81" t="s">
        <v>781</v>
      </c>
      <c r="B94" s="56" t="s">
        <v>106</v>
      </c>
      <c r="C94" s="46">
        <f>SUM('Table 3.17-No Record Mail'!F19:F20)</f>
        <v>464.68298813360303</v>
      </c>
      <c r="D94" s="40">
        <v>4674.6995744302358</v>
      </c>
      <c r="E94" s="184" t="s">
        <v>239</v>
      </c>
      <c r="F94" s="83">
        <f>C94/D94</f>
        <v>9.9403818520303472E-2</v>
      </c>
      <c r="G94" s="285" t="s">
        <v>240</v>
      </c>
      <c r="H94" s="340">
        <v>1.6624309879114112</v>
      </c>
      <c r="I94" s="79"/>
      <c r="J94" s="46">
        <f>C94*H94</f>
        <v>772.50339902857229</v>
      </c>
      <c r="K94" s="83">
        <f>F94*(H94)</f>
        <v>0.16525198822487475</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8" x14ac:dyDescent="0.25">
      <c r="A95" s="81"/>
      <c r="B95" s="57"/>
      <c r="C95" s="46"/>
      <c r="D95" s="44"/>
      <c r="E95" s="44"/>
      <c r="F95" s="45"/>
      <c r="G95" s="23"/>
      <c r="H95" s="55"/>
      <c r="I95" s="79"/>
      <c r="J95" s="46"/>
      <c r="K95" s="41"/>
    </row>
    <row r="96" spans="1:18" x14ac:dyDescent="0.25">
      <c r="A96" s="25" t="s">
        <v>391</v>
      </c>
      <c r="B96" s="57"/>
      <c r="C96" s="46"/>
      <c r="D96" s="44"/>
      <c r="E96" s="44"/>
      <c r="F96" s="45"/>
      <c r="G96" s="23"/>
      <c r="H96" s="55"/>
      <c r="I96" s="79"/>
      <c r="J96" s="46"/>
      <c r="K96" s="41"/>
    </row>
    <row r="97" spans="1:17" ht="5.0999999999999996" customHeight="1" x14ac:dyDescent="0.25">
      <c r="A97" s="25"/>
      <c r="B97" s="57"/>
      <c r="C97" s="46"/>
      <c r="D97" s="44"/>
      <c r="E97" s="44"/>
      <c r="F97" s="45"/>
      <c r="G97" s="23"/>
      <c r="H97" s="55"/>
      <c r="I97" s="79"/>
      <c r="J97" s="46"/>
      <c r="K97" s="41"/>
    </row>
    <row r="98" spans="1:17" x14ac:dyDescent="0.25">
      <c r="A98" s="82" t="s">
        <v>284</v>
      </c>
      <c r="B98" s="57"/>
      <c r="C98" s="46"/>
      <c r="D98" s="44"/>
      <c r="E98" s="44"/>
      <c r="F98" s="45"/>
      <c r="G98" s="23"/>
      <c r="H98" s="55"/>
      <c r="I98" s="79"/>
      <c r="J98" s="46"/>
      <c r="K98" s="41"/>
      <c r="L98" s="47"/>
    </row>
    <row r="99" spans="1:17" x14ac:dyDescent="0.25">
      <c r="A99" s="338" t="s">
        <v>280</v>
      </c>
      <c r="B99" s="56" t="s">
        <v>106</v>
      </c>
      <c r="C99" s="46" t="s">
        <v>106</v>
      </c>
      <c r="D99" s="40">
        <f>D11</f>
        <v>949468.4219096197</v>
      </c>
      <c r="E99" s="40"/>
      <c r="F99" s="56" t="s">
        <v>106</v>
      </c>
      <c r="G99" s="159"/>
      <c r="H99" s="56" t="s">
        <v>106</v>
      </c>
      <c r="I99" s="72"/>
      <c r="J99" s="46">
        <f>J11+SUM($J$90:$J$91)*D99/SUM($D$103,$D$109)</f>
        <v>69365.443022614374</v>
      </c>
      <c r="K99" s="83">
        <f>J99/D99</f>
        <v>7.3057135363283621E-2</v>
      </c>
      <c r="P99" s="138">
        <f>D99-'Table 3.15-Route UAA NoPARS'!D99-'Table 3.16-Route UAA PARS'!D99</f>
        <v>0</v>
      </c>
      <c r="Q99" s="138">
        <f>J99-'Table 3.15-Route UAA NoPARS'!J99-'Table 3.16-Route UAA PARS'!J99</f>
        <v>0</v>
      </c>
    </row>
    <row r="100" spans="1:17" x14ac:dyDescent="0.25">
      <c r="A100" s="338" t="s">
        <v>287</v>
      </c>
      <c r="B100" s="56" t="s">
        <v>106</v>
      </c>
      <c r="C100" s="46" t="s">
        <v>106</v>
      </c>
      <c r="D100" s="40">
        <f>D18</f>
        <v>96694.471970704879</v>
      </c>
      <c r="E100" s="40"/>
      <c r="F100" s="56" t="s">
        <v>106</v>
      </c>
      <c r="G100" s="159"/>
      <c r="H100" s="56" t="s">
        <v>106</v>
      </c>
      <c r="I100" s="72"/>
      <c r="J100" s="46">
        <f>J18+SUM($J$90:$J$91)*D100/SUM($D$103,$D$109)</f>
        <v>6908.1356240345131</v>
      </c>
      <c r="K100" s="83">
        <f>J100/D100</f>
        <v>7.1442922053780306E-2</v>
      </c>
      <c r="P100" s="138">
        <f>D100-'Table 3.15-Route UAA NoPARS'!D100-'Table 3.16-Route UAA PARS'!D100</f>
        <v>0</v>
      </c>
      <c r="Q100" s="138">
        <f>J100-'Table 3.15-Route UAA NoPARS'!J100-'Table 3.16-Route UAA PARS'!J100</f>
        <v>0</v>
      </c>
    </row>
    <row r="101" spans="1:17" x14ac:dyDescent="0.25">
      <c r="A101" s="338" t="s">
        <v>282</v>
      </c>
      <c r="B101" s="56" t="s">
        <v>106</v>
      </c>
      <c r="C101" s="46" t="s">
        <v>106</v>
      </c>
      <c r="D101" s="40">
        <f>D25</f>
        <v>304142.44789462927</v>
      </c>
      <c r="E101" s="40"/>
      <c r="F101" s="56" t="s">
        <v>106</v>
      </c>
      <c r="G101" s="159"/>
      <c r="H101" s="56" t="s">
        <v>106</v>
      </c>
      <c r="I101" s="72"/>
      <c r="J101" s="46">
        <f>J25+SUM($J$90:$J$91)*D101/SUM($D$103,$D$109)</f>
        <v>23716.563044153798</v>
      </c>
      <c r="K101" s="83">
        <f>J101/D101</f>
        <v>7.7978470970847341E-2</v>
      </c>
      <c r="P101" s="138">
        <f>D101-'Table 3.15-Route UAA NoPARS'!D101-'Table 3.16-Route UAA PARS'!D101</f>
        <v>0</v>
      </c>
      <c r="Q101" s="138">
        <f>J101-'Table 3.15-Route UAA NoPARS'!J101-'Table 3.16-Route UAA PARS'!J101</f>
        <v>0</v>
      </c>
    </row>
    <row r="102" spans="1:17" x14ac:dyDescent="0.25">
      <c r="A102" s="338" t="s">
        <v>276</v>
      </c>
      <c r="B102" s="56" t="s">
        <v>106</v>
      </c>
      <c r="C102" s="46" t="s">
        <v>106</v>
      </c>
      <c r="D102" s="40">
        <f>D32</f>
        <v>39729.481069780326</v>
      </c>
      <c r="E102" s="40"/>
      <c r="F102" s="56" t="s">
        <v>106</v>
      </c>
      <c r="G102" s="159"/>
      <c r="H102" s="56" t="s">
        <v>106</v>
      </c>
      <c r="I102" s="72"/>
      <c r="J102" s="46">
        <f>J32+SUM($J$90:$J$91)*D102/SUM($D$103,$D$109)</f>
        <v>3961.591775186449</v>
      </c>
      <c r="K102" s="83">
        <f>J102/D102</f>
        <v>9.9714158567245373E-2</v>
      </c>
      <c r="P102" s="138">
        <f>D102-'Table 3.15-Route UAA NoPARS'!D102-'Table 3.16-Route UAA PARS'!D102</f>
        <v>0</v>
      </c>
      <c r="Q102" s="138">
        <f>J102-'Table 3.15-Route UAA NoPARS'!J102-'Table 3.16-Route UAA PARS'!J102</f>
        <v>0</v>
      </c>
    </row>
    <row r="103" spans="1:17" x14ac:dyDescent="0.25">
      <c r="A103" s="338" t="s">
        <v>281</v>
      </c>
      <c r="B103" s="56"/>
      <c r="C103" s="46"/>
      <c r="D103" s="40">
        <f>SUM(D99:D102)</f>
        <v>1390034.8228447342</v>
      </c>
      <c r="E103" s="40"/>
      <c r="F103" s="56"/>
      <c r="G103" s="159"/>
      <c r="H103" s="56"/>
      <c r="I103" s="72"/>
      <c r="J103" s="46">
        <f>SUM(J99:J102)</f>
        <v>103951.73346598913</v>
      </c>
      <c r="K103" s="83">
        <f>J103/D103</f>
        <v>7.478354625192038E-2</v>
      </c>
      <c r="P103" s="138">
        <f>D103-'Table 3.15-Route UAA NoPARS'!D103-'Table 3.16-Route UAA PARS'!D103</f>
        <v>0</v>
      </c>
      <c r="Q103" s="138">
        <f>J103-'Table 3.15-Route UAA NoPARS'!J103-'Table 3.16-Route UAA PARS'!J103</f>
        <v>0</v>
      </c>
    </row>
    <row r="104" spans="1:17" ht="5.0999999999999996" customHeight="1" x14ac:dyDescent="0.25">
      <c r="A104" s="21"/>
      <c r="B104" s="56"/>
      <c r="C104" s="46"/>
      <c r="D104" s="40"/>
      <c r="E104" s="40"/>
      <c r="F104" s="56"/>
      <c r="G104" s="159"/>
      <c r="H104" s="56"/>
      <c r="I104" s="72"/>
      <c r="J104" s="46"/>
      <c r="K104" s="83"/>
    </row>
    <row r="105" spans="1:17" x14ac:dyDescent="0.25">
      <c r="A105" s="82" t="s">
        <v>392</v>
      </c>
    </row>
    <row r="106" spans="1:17" x14ac:dyDescent="0.25">
      <c r="A106" s="338" t="s">
        <v>386</v>
      </c>
      <c r="B106" s="56" t="s">
        <v>106</v>
      </c>
      <c r="C106" s="46" t="s">
        <v>106</v>
      </c>
      <c r="D106" s="40">
        <f>D52</f>
        <v>70471.83502243484</v>
      </c>
      <c r="E106" s="40"/>
      <c r="F106" s="56" t="s">
        <v>106</v>
      </c>
      <c r="G106" s="159"/>
      <c r="H106" s="56" t="s">
        <v>106</v>
      </c>
      <c r="I106" s="72"/>
      <c r="J106" s="46">
        <f>J52+SUM($J$90:$J$91)*D106/SUM($D$103,$D$109)</f>
        <v>5311.2455737735108</v>
      </c>
      <c r="K106" s="83">
        <f t="shared" ref="K106:K111" si="2">J106/D106</f>
        <v>7.5366925979473448E-2</v>
      </c>
      <c r="P106" s="138">
        <f>D106-'Table 3.15-Route UAA NoPARS'!D106-'Table 3.16-Route UAA PARS'!D106</f>
        <v>0</v>
      </c>
      <c r="Q106" s="138">
        <f>J106-'Table 3.15-Route UAA NoPARS'!J106-'Table 3.16-Route UAA PARS'!J106</f>
        <v>0</v>
      </c>
    </row>
    <row r="107" spans="1:17" x14ac:dyDescent="0.25">
      <c r="A107" s="338" t="s">
        <v>393</v>
      </c>
      <c r="B107" s="56" t="s">
        <v>106</v>
      </c>
      <c r="C107" s="46" t="s">
        <v>106</v>
      </c>
      <c r="D107" s="40">
        <f>D60</f>
        <v>42737.044840557704</v>
      </c>
      <c r="E107" s="40"/>
      <c r="F107" s="56" t="s">
        <v>106</v>
      </c>
      <c r="G107" s="159"/>
      <c r="H107" s="56" t="s">
        <v>106</v>
      </c>
      <c r="I107" s="72"/>
      <c r="J107" s="46">
        <f>J60+SUM($J$90:$J$91)*D107/SUM($D$103,$D$109)</f>
        <v>2995.2372472031652</v>
      </c>
      <c r="K107" s="83">
        <f t="shared" si="2"/>
        <v>7.0085268140970464E-2</v>
      </c>
      <c r="P107" s="138">
        <f>D107-'Table 3.15-Route UAA NoPARS'!D107-'Table 3.16-Route UAA PARS'!D107</f>
        <v>0</v>
      </c>
      <c r="Q107" s="138">
        <f>J107-'Table 3.15-Route UAA NoPARS'!J107-'Table 3.16-Route UAA PARS'!J107</f>
        <v>0</v>
      </c>
    </row>
    <row r="108" spans="1:17" x14ac:dyDescent="0.25">
      <c r="A108" s="338" t="s">
        <v>388</v>
      </c>
      <c r="B108" s="56" t="s">
        <v>106</v>
      </c>
      <c r="C108" s="46" t="s">
        <v>106</v>
      </c>
      <c r="D108" s="40">
        <f>D67</f>
        <v>54795.000381806509</v>
      </c>
      <c r="E108" s="40"/>
      <c r="F108" s="56" t="s">
        <v>106</v>
      </c>
      <c r="G108" s="159"/>
      <c r="H108" s="56" t="s">
        <v>106</v>
      </c>
      <c r="I108" s="72"/>
      <c r="J108" s="46">
        <f>J67+SUM($J$90:$J$91)*D108/SUM($D$103,$D$109)</f>
        <v>4903.5682541523729</v>
      </c>
      <c r="K108" s="83">
        <f t="shared" si="2"/>
        <v>8.948933698302329E-2</v>
      </c>
      <c r="P108" s="138">
        <f>D108-'Table 3.15-Route UAA NoPARS'!D108-'Table 3.16-Route UAA PARS'!D108</f>
        <v>0</v>
      </c>
      <c r="Q108" s="138">
        <f>J108-'Table 3.15-Route UAA NoPARS'!J108-'Table 3.16-Route UAA PARS'!J108</f>
        <v>0</v>
      </c>
    </row>
    <row r="109" spans="1:17" x14ac:dyDescent="0.25">
      <c r="A109" s="338" t="s">
        <v>394</v>
      </c>
      <c r="B109" s="56"/>
      <c r="C109" s="46"/>
      <c r="D109" s="40">
        <f>SUM(D106:D108)</f>
        <v>168003.88024479905</v>
      </c>
      <c r="E109" s="40"/>
      <c r="F109" s="56"/>
      <c r="G109" s="159"/>
      <c r="H109" s="56"/>
      <c r="I109" s="72"/>
      <c r="J109" s="46">
        <f>SUM(J106:J108)</f>
        <v>13210.051075129049</v>
      </c>
      <c r="K109" s="83">
        <f t="shared" si="2"/>
        <v>7.8629440319358326E-2</v>
      </c>
      <c r="P109" s="138">
        <f>D109-'Table 3.15-Route UAA NoPARS'!D109-'Table 3.16-Route UAA PARS'!D109</f>
        <v>0</v>
      </c>
      <c r="Q109" s="138">
        <f>J109-'Table 3.15-Route UAA NoPARS'!J109-'Table 3.16-Route UAA PARS'!J109</f>
        <v>0</v>
      </c>
    </row>
    <row r="110" spans="1:17" ht="5.0999999999999996" customHeight="1" x14ac:dyDescent="0.25">
      <c r="A110" s="21"/>
      <c r="B110" s="56"/>
      <c r="C110" s="46"/>
      <c r="D110" s="40"/>
      <c r="E110" s="40"/>
      <c r="F110" s="56"/>
      <c r="G110" s="159"/>
      <c r="H110" s="56"/>
      <c r="I110" s="72"/>
      <c r="J110" s="46"/>
      <c r="K110" s="83"/>
    </row>
    <row r="111" spans="1:17" x14ac:dyDescent="0.25">
      <c r="A111" s="82" t="s">
        <v>286</v>
      </c>
      <c r="B111" s="56" t="s">
        <v>106</v>
      </c>
      <c r="C111" s="46" t="s">
        <v>106</v>
      </c>
      <c r="D111" s="40">
        <f>D82</f>
        <v>2175721.5538441222</v>
      </c>
      <c r="E111" s="40"/>
      <c r="F111" s="56"/>
      <c r="G111" s="159"/>
      <c r="H111" s="56"/>
      <c r="I111" s="72"/>
      <c r="J111" s="46">
        <f>SUM(J93:J94)+J82</f>
        <v>69721.961178966056</v>
      </c>
      <c r="K111" s="83">
        <f t="shared" si="2"/>
        <v>3.2045443064982033E-2</v>
      </c>
      <c r="P111" s="138">
        <f>D111-'Table 3.15-Route UAA NoPARS'!D111-'Table 3.16-Route UAA PARS'!D111</f>
        <v>0</v>
      </c>
      <c r="Q111" s="138">
        <f>J111-'Table 3.15-Route UAA NoPARS'!J111-'Table 3.16-Route UAA PARS'!J111</f>
        <v>0</v>
      </c>
    </row>
    <row r="112" spans="1:17" hidden="1" x14ac:dyDescent="0.25">
      <c r="A112" s="341"/>
      <c r="B112" s="56"/>
      <c r="C112" s="46"/>
      <c r="D112" s="40"/>
      <c r="E112" s="40"/>
      <c r="F112" s="56"/>
      <c r="G112" s="159"/>
      <c r="H112" s="56"/>
      <c r="I112" s="72"/>
      <c r="J112" s="46"/>
      <c r="K112" s="83"/>
    </row>
    <row r="113" spans="1:11" hidden="1" x14ac:dyDescent="0.25">
      <c r="B113" s="69"/>
      <c r="C113" s="70"/>
      <c r="D113" s="37"/>
      <c r="E113" s="37"/>
      <c r="F113" s="38"/>
      <c r="G113" s="2"/>
      <c r="H113" s="4"/>
      <c r="I113" s="2"/>
      <c r="J113" s="2"/>
      <c r="K113" s="71"/>
    </row>
    <row r="114" spans="1:11" hidden="1" x14ac:dyDescent="0.25">
      <c r="A114" s="127" t="s">
        <v>191</v>
      </c>
      <c r="B114" s="339">
        <v>0</v>
      </c>
      <c r="C114" s="339">
        <v>0</v>
      </c>
      <c r="D114" s="339">
        <v>0</v>
      </c>
      <c r="E114" s="128"/>
      <c r="H114" s="126"/>
      <c r="I114" s="127"/>
      <c r="J114" s="339">
        <f>SUM(J103,J109)-J39-J74-SUM(J90:J91)</f>
        <v>7.2759576141834259E-12</v>
      </c>
    </row>
    <row r="115" spans="1:11" hidden="1" x14ac:dyDescent="0.25">
      <c r="A115" s="127"/>
      <c r="B115" s="339">
        <v>0</v>
      </c>
      <c r="C115" s="339">
        <v>0</v>
      </c>
      <c r="D115" s="339">
        <v>0</v>
      </c>
      <c r="E115" s="128"/>
      <c r="H115" s="126"/>
      <c r="I115" s="127"/>
      <c r="J115" s="339">
        <f>J111-J82-J93-J94</f>
        <v>5.6843418860808015E-12</v>
      </c>
    </row>
    <row r="116" spans="1:11" hidden="1" x14ac:dyDescent="0.25">
      <c r="B116" s="339">
        <v>0</v>
      </c>
      <c r="C116" s="339">
        <v>0</v>
      </c>
      <c r="D116" s="339">
        <v>0</v>
      </c>
      <c r="H116" s="127"/>
      <c r="I116" s="127"/>
      <c r="J116" s="339">
        <v>0</v>
      </c>
    </row>
    <row r="117" spans="1:11" hidden="1" x14ac:dyDescent="0.25">
      <c r="B117" s="339">
        <v>0</v>
      </c>
      <c r="C117" s="339">
        <v>0</v>
      </c>
      <c r="D117" s="339">
        <v>0</v>
      </c>
      <c r="H117" s="342"/>
      <c r="I117" s="342"/>
      <c r="J117" s="339">
        <v>0</v>
      </c>
    </row>
    <row r="118" spans="1:11" hidden="1" x14ac:dyDescent="0.25">
      <c r="B118" s="339"/>
      <c r="C118" s="339"/>
      <c r="D118" s="339">
        <v>3.7834979593753815E-10</v>
      </c>
      <c r="H118" s="342"/>
      <c r="I118" s="342"/>
      <c r="J118" s="339">
        <v>0</v>
      </c>
    </row>
    <row r="119" spans="1:11" x14ac:dyDescent="0.25">
      <c r="A119" s="141"/>
      <c r="B119" s="290"/>
      <c r="C119" s="291"/>
      <c r="D119" s="282"/>
      <c r="E119" s="37"/>
    </row>
    <row r="120" spans="1:11" x14ac:dyDescent="0.25">
      <c r="A120" s="11" t="s">
        <v>235</v>
      </c>
    </row>
    <row r="121" spans="1:11" x14ac:dyDescent="0.25">
      <c r="A121" s="25" t="s">
        <v>796</v>
      </c>
    </row>
    <row r="122" spans="1:11" x14ac:dyDescent="0.25">
      <c r="A122" s="25" t="s">
        <v>795</v>
      </c>
    </row>
    <row r="123" spans="1:11" x14ac:dyDescent="0.25">
      <c r="A123" s="25" t="s">
        <v>797</v>
      </c>
    </row>
    <row r="124" spans="1:11" x14ac:dyDescent="0.25">
      <c r="A124" s="145" t="s">
        <v>91</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T124"/>
  <sheetViews>
    <sheetView zoomScale="70" zoomScaleNormal="70" workbookViewId="0"/>
  </sheetViews>
  <sheetFormatPr defaultColWidth="9.109375" defaultRowHeight="13.2" x14ac:dyDescent="0.25"/>
  <cols>
    <col min="1" max="1" width="43.33203125" style="11" customWidth="1"/>
    <col min="2" max="2" width="11.6640625" style="62" customWidth="1"/>
    <col min="3" max="3" width="11.6640625" style="52" customWidth="1"/>
    <col min="4" max="4" width="11.6640625" style="53" customWidth="1"/>
    <col min="5" max="5" width="2.6640625" style="53" customWidth="1"/>
    <col min="6" max="6" width="11.6640625" style="64" customWidth="1"/>
    <col min="7" max="7" width="2.6640625" style="24" customWidth="1"/>
    <col min="8" max="8" width="11.6640625" style="11" customWidth="1"/>
    <col min="9" max="9" width="2.33203125" style="24" customWidth="1"/>
    <col min="10" max="10" width="11.6640625" style="24" customWidth="1"/>
    <col min="11" max="11" width="11.6640625" style="64" customWidth="1"/>
    <col min="12" max="12" width="9.109375" style="11"/>
    <col min="13" max="13" width="11.33203125" style="11" bestFit="1" customWidth="1"/>
    <col min="14" max="14" width="11.109375" style="11" bestFit="1" customWidth="1"/>
    <col min="15" max="16384" width="9.109375" style="11"/>
  </cols>
  <sheetData>
    <row r="1" spans="1:12" ht="15.75" customHeight="1" x14ac:dyDescent="0.3">
      <c r="A1" s="158" t="s">
        <v>672</v>
      </c>
    </row>
    <row r="2" spans="1:12" ht="15.75" customHeight="1" x14ac:dyDescent="0.3">
      <c r="A2" s="158" t="s">
        <v>787</v>
      </c>
    </row>
    <row r="3" spans="1:12" s="4" customFormat="1" ht="26.4" x14ac:dyDescent="0.25">
      <c r="B3" s="189" t="s">
        <v>248</v>
      </c>
      <c r="C3" s="146" t="s">
        <v>249</v>
      </c>
      <c r="D3" s="168" t="s">
        <v>250</v>
      </c>
      <c r="E3" s="168"/>
      <c r="F3" s="169" t="s">
        <v>207</v>
      </c>
      <c r="G3" s="159"/>
      <c r="H3" s="190" t="s">
        <v>246</v>
      </c>
      <c r="I3" s="159"/>
      <c r="J3" s="189" t="s">
        <v>110</v>
      </c>
      <c r="K3" s="41" t="s">
        <v>133</v>
      </c>
    </row>
    <row r="4" spans="1:12" x14ac:dyDescent="0.25">
      <c r="A4" s="15" t="s">
        <v>283</v>
      </c>
      <c r="B4" s="65"/>
      <c r="C4" s="39"/>
      <c r="D4" s="37"/>
      <c r="E4" s="37"/>
      <c r="F4" s="38"/>
      <c r="G4" s="2"/>
      <c r="H4" s="66"/>
      <c r="I4" s="2"/>
      <c r="J4" s="2"/>
      <c r="K4" s="38"/>
    </row>
    <row r="5" spans="1:12" ht="5.0999999999999996" customHeight="1" x14ac:dyDescent="0.25">
      <c r="A5" s="49"/>
      <c r="B5" s="65"/>
      <c r="C5" s="39"/>
      <c r="D5" s="37"/>
      <c r="E5" s="37"/>
      <c r="F5" s="38"/>
      <c r="G5" s="2"/>
      <c r="H5" s="66"/>
      <c r="I5" s="2"/>
      <c r="J5" s="2"/>
      <c r="K5" s="38"/>
    </row>
    <row r="6" spans="1:12" x14ac:dyDescent="0.25">
      <c r="A6" s="82" t="s">
        <v>275</v>
      </c>
      <c r="B6" s="57"/>
      <c r="C6" s="67"/>
      <c r="D6" s="40"/>
      <c r="E6" s="40"/>
      <c r="F6" s="41"/>
      <c r="G6" s="43"/>
      <c r="H6" s="54"/>
      <c r="I6" s="68"/>
      <c r="J6" s="68"/>
      <c r="K6" s="41"/>
    </row>
    <row r="7" spans="1:12" x14ac:dyDescent="0.25">
      <c r="A7" s="337" t="s">
        <v>135</v>
      </c>
      <c r="B7" s="135">
        <v>77.522067791709475</v>
      </c>
      <c r="C7" s="46">
        <v>2964.2271630102405</v>
      </c>
      <c r="D7" s="135">
        <v>35487.73943409972</v>
      </c>
      <c r="E7" s="135"/>
      <c r="F7" s="83">
        <f>IF(D7&lt;&gt;0,C7/D7,0)</f>
        <v>8.3528204677978224E-2</v>
      </c>
      <c r="G7" s="159"/>
      <c r="H7" s="54">
        <v>1.2964905110516152</v>
      </c>
      <c r="I7" s="72"/>
      <c r="J7" s="46">
        <f>C7*H7</f>
        <v>3843.0923894442262</v>
      </c>
      <c r="K7" s="83">
        <f>F7*(H7)</f>
        <v>0.1082935247701759</v>
      </c>
    </row>
    <row r="8" spans="1:12" ht="12.75" customHeight="1" x14ac:dyDescent="0.25">
      <c r="A8" s="338" t="s">
        <v>136</v>
      </c>
      <c r="B8" s="135">
        <v>15.885249727964457</v>
      </c>
      <c r="C8" s="46">
        <v>601.92542687193941</v>
      </c>
      <c r="D8" s="135">
        <v>7408.5978356420246</v>
      </c>
      <c r="E8" s="135"/>
      <c r="F8" s="83">
        <f>IF(D8&lt;&gt;0,C8/D8,0)</f>
        <v>8.1246875620125614E-2</v>
      </c>
      <c r="G8" s="159"/>
      <c r="H8" s="54">
        <v>1.2111795318702914</v>
      </c>
      <c r="I8" s="72"/>
      <c r="J8" s="46">
        <f>C8*H8</f>
        <v>729.03975673958087</v>
      </c>
      <c r="K8" s="83">
        <f>F8*(H8)</f>
        <v>9.8404552779507534E-2</v>
      </c>
    </row>
    <row r="9" spans="1:12" x14ac:dyDescent="0.25">
      <c r="A9" s="337" t="s">
        <v>137</v>
      </c>
      <c r="B9" s="135">
        <v>8.8367025700505906</v>
      </c>
      <c r="C9" s="46">
        <v>384.84527625028363</v>
      </c>
      <c r="D9" s="135">
        <v>3996.4935654800702</v>
      </c>
      <c r="E9" s="135"/>
      <c r="F9" s="83">
        <f>IF(D9&lt;&gt;0,C9/D9,0)</f>
        <v>9.6295732732915071E-2</v>
      </c>
      <c r="G9" s="159"/>
      <c r="H9" s="54">
        <v>1.5249384833271007</v>
      </c>
      <c r="I9" s="48"/>
      <c r="J9" s="46">
        <f>C9*H9</f>
        <v>586.86537188070656</v>
      </c>
      <c r="K9" s="83">
        <f>F9*(H9)</f>
        <v>0.14684506862460336</v>
      </c>
    </row>
    <row r="10" spans="1:12" x14ac:dyDescent="0.25">
      <c r="A10" s="337" t="s">
        <v>107</v>
      </c>
      <c r="B10" s="135">
        <v>0.55701547715082966</v>
      </c>
      <c r="C10" s="46">
        <v>22.094910125951102</v>
      </c>
      <c r="D10" s="135">
        <v>456.37230163447549</v>
      </c>
      <c r="E10" s="135"/>
      <c r="F10" s="83">
        <f>IF(D10&lt;&gt;0,C10/D10,0)</f>
        <v>4.8414222438169979E-2</v>
      </c>
      <c r="G10" s="159"/>
      <c r="H10" s="54">
        <v>1.2111795318702914</v>
      </c>
      <c r="I10" s="72"/>
      <c r="J10" s="46">
        <f>C10*H10</f>
        <v>26.760902903065617</v>
      </c>
      <c r="K10" s="83">
        <f>F10*(H10)</f>
        <v>5.8638315268526871E-2</v>
      </c>
    </row>
    <row r="11" spans="1:12" x14ac:dyDescent="0.25">
      <c r="A11" s="337" t="s">
        <v>277</v>
      </c>
      <c r="B11" s="135">
        <f>SUM(B7:B10)</f>
        <v>102.80103556687536</v>
      </c>
      <c r="C11" s="46">
        <f>SUM(C7:C10)</f>
        <v>3973.0927762584151</v>
      </c>
      <c r="D11" s="135">
        <f>SUM(D7:D10)</f>
        <v>47349.203136856289</v>
      </c>
      <c r="E11" s="135"/>
      <c r="F11" s="83">
        <f>IF(D11&lt;&gt;0,C11/D11,0)</f>
        <v>8.3910446492092866E-2</v>
      </c>
      <c r="G11" s="159"/>
      <c r="H11" s="54"/>
      <c r="I11" s="72"/>
      <c r="J11" s="46">
        <f>SUM(J7:J10)</f>
        <v>5185.7584209675788</v>
      </c>
      <c r="K11" s="83">
        <f>SUMPRODUCT(K7:K10,D7:D10)/D11</f>
        <v>0.10952155638140024</v>
      </c>
      <c r="L11" s="84"/>
    </row>
    <row r="12" spans="1:12" ht="5.0999999999999996" customHeight="1" x14ac:dyDescent="0.25">
      <c r="A12" s="21"/>
      <c r="B12" s="135"/>
      <c r="C12" s="46"/>
      <c r="D12" s="135"/>
      <c r="E12" s="135"/>
      <c r="F12" s="83"/>
      <c r="G12" s="159"/>
      <c r="H12" s="54"/>
      <c r="I12" s="72"/>
      <c r="J12" s="46"/>
      <c r="K12" s="83"/>
      <c r="L12" s="84"/>
    </row>
    <row r="13" spans="1:12" x14ac:dyDescent="0.25">
      <c r="A13" s="89" t="s">
        <v>383</v>
      </c>
      <c r="B13" s="135"/>
      <c r="C13" s="46"/>
      <c r="D13" s="135"/>
      <c r="E13" s="135"/>
      <c r="F13" s="83"/>
      <c r="G13" s="159"/>
      <c r="H13" s="54"/>
      <c r="I13" s="72"/>
      <c r="J13" s="46"/>
      <c r="K13" s="83"/>
      <c r="L13" s="84"/>
    </row>
    <row r="14" spans="1:12" x14ac:dyDescent="0.25">
      <c r="A14" s="337" t="s">
        <v>135</v>
      </c>
      <c r="B14" s="135">
        <v>4.0004346893105387</v>
      </c>
      <c r="C14" s="46">
        <v>165.36232394248293</v>
      </c>
      <c r="D14" s="135">
        <v>1782.6320822819905</v>
      </c>
      <c r="E14" s="135"/>
      <c r="F14" s="83">
        <f>IF(D14&lt;&gt;0,C14/D14,0)</f>
        <v>9.2763013515833631E-2</v>
      </c>
      <c r="G14" s="159"/>
      <c r="H14" s="54">
        <v>1.2964905110516152</v>
      </c>
      <c r="I14" s="72"/>
      <c r="J14" s="46">
        <f>C14*H14</f>
        <v>214.39068387687243</v>
      </c>
      <c r="K14" s="83">
        <f>F14*(H14)</f>
        <v>0.12026636679983103</v>
      </c>
      <c r="L14" s="84"/>
    </row>
    <row r="15" spans="1:12" x14ac:dyDescent="0.25">
      <c r="A15" s="338" t="s">
        <v>136</v>
      </c>
      <c r="B15" s="135">
        <v>3.314112306370355</v>
      </c>
      <c r="C15" s="46">
        <v>153.28961749774572</v>
      </c>
      <c r="D15" s="135">
        <v>1492.8122262877971</v>
      </c>
      <c r="E15" s="135"/>
      <c r="F15" s="83">
        <f>IF(D15&lt;&gt;0,C15/D15,0)</f>
        <v>0.10268512998378487</v>
      </c>
      <c r="G15" s="159"/>
      <c r="H15" s="54">
        <v>1.2111795318702914</v>
      </c>
      <c r="I15" s="72"/>
      <c r="J15" s="46">
        <f>C15*H15</f>
        <v>185.66124716149568</v>
      </c>
      <c r="K15" s="83">
        <f>F15*(H15)</f>
        <v>0.12437012766380058</v>
      </c>
      <c r="L15" s="84"/>
    </row>
    <row r="16" spans="1:12" x14ac:dyDescent="0.25">
      <c r="A16" s="337" t="s">
        <v>137</v>
      </c>
      <c r="B16" s="135">
        <v>22.565829419868301</v>
      </c>
      <c r="C16" s="46">
        <v>190.54640046101383</v>
      </c>
      <c r="D16" s="135">
        <v>4674.2909462107364</v>
      </c>
      <c r="E16" s="135"/>
      <c r="F16" s="83">
        <f>IF(D16&lt;&gt;0,C16/D16,0)</f>
        <v>4.0764771096562208E-2</v>
      </c>
      <c r="G16" s="159"/>
      <c r="H16" s="54">
        <v>1.5249384833271007</v>
      </c>
      <c r="I16" s="72"/>
      <c r="J16" s="46">
        <f>C16*H16</f>
        <v>290.5715389224568</v>
      </c>
      <c r="K16" s="83">
        <f>F16*(H16)</f>
        <v>6.2163768209168004E-2</v>
      </c>
      <c r="L16" s="84"/>
    </row>
    <row r="17" spans="1:12" ht="12.75" customHeight="1" x14ac:dyDescent="0.25">
      <c r="A17" s="337" t="s">
        <v>107</v>
      </c>
      <c r="B17" s="135">
        <v>0</v>
      </c>
      <c r="C17" s="46">
        <v>0</v>
      </c>
      <c r="D17" s="135">
        <v>0</v>
      </c>
      <c r="E17" s="135"/>
      <c r="F17" s="83">
        <f>IF(D17&lt;&gt;0,C17/D17,0)</f>
        <v>0</v>
      </c>
      <c r="G17" s="159"/>
      <c r="H17" s="54">
        <v>1.2111795318702914</v>
      </c>
      <c r="I17" s="72"/>
      <c r="J17" s="46">
        <f>C17*H17</f>
        <v>0</v>
      </c>
      <c r="K17" s="83">
        <f>F17*(H17)</f>
        <v>0</v>
      </c>
      <c r="L17" s="84"/>
    </row>
    <row r="18" spans="1:12" x14ac:dyDescent="0.25">
      <c r="A18" s="337" t="s">
        <v>277</v>
      </c>
      <c r="B18" s="135">
        <f>SUM(B14:B17)</f>
        <v>29.880376415549193</v>
      </c>
      <c r="C18" s="46">
        <f>SUM(C14:C17)</f>
        <v>509.19834190124249</v>
      </c>
      <c r="D18" s="135">
        <f>SUM(D14:D17)</f>
        <v>7949.735254780524</v>
      </c>
      <c r="E18" s="135"/>
      <c r="F18" s="83">
        <f>IF(D18&lt;&gt;0,C18/D18,0)</f>
        <v>6.405223892142059E-2</v>
      </c>
      <c r="G18" s="159"/>
      <c r="H18" s="54"/>
      <c r="I18" s="72"/>
      <c r="J18" s="46">
        <f>SUM(J14:J17)</f>
        <v>690.62346996082488</v>
      </c>
      <c r="K18" s="83">
        <f>SUMPRODUCT(K14:K17,D14:D17)/D18</f>
        <v>8.6873769732837669E-2</v>
      </c>
      <c r="L18" s="84"/>
    </row>
    <row r="19" spans="1:12" ht="5.0999999999999996" customHeight="1" x14ac:dyDescent="0.25">
      <c r="A19" s="81"/>
      <c r="B19" s="135"/>
      <c r="C19" s="135"/>
      <c r="D19" s="135"/>
      <c r="E19" s="135"/>
      <c r="F19" s="83"/>
      <c r="G19" s="159"/>
      <c r="H19" s="54"/>
      <c r="I19" s="72"/>
      <c r="J19" s="46"/>
      <c r="K19" s="83"/>
      <c r="L19" s="84"/>
    </row>
    <row r="20" spans="1:12" ht="12.75" customHeight="1" x14ac:dyDescent="0.25">
      <c r="A20" s="89" t="s">
        <v>384</v>
      </c>
      <c r="B20" s="135"/>
      <c r="C20" s="135"/>
      <c r="D20" s="135"/>
      <c r="E20" s="135"/>
      <c r="F20" s="83"/>
      <c r="G20" s="159"/>
      <c r="H20" s="54"/>
      <c r="I20" s="72"/>
      <c r="J20" s="46"/>
      <c r="K20" s="83"/>
      <c r="L20" s="84"/>
    </row>
    <row r="21" spans="1:12" ht="12.75" customHeight="1" x14ac:dyDescent="0.25">
      <c r="A21" s="337" t="s">
        <v>135</v>
      </c>
      <c r="B21" s="135">
        <v>55.612288712122201</v>
      </c>
      <c r="C21" s="46">
        <v>2297.1595284423756</v>
      </c>
      <c r="D21" s="135">
        <v>24746.047930635119</v>
      </c>
      <c r="E21" s="135"/>
      <c r="F21" s="83">
        <f>IF(D21&lt;&gt;0,C21/D21,0)</f>
        <v>9.2829349352327784E-2</v>
      </c>
      <c r="G21" s="159"/>
      <c r="H21" s="54">
        <v>1.2964905110516152</v>
      </c>
      <c r="I21" s="72"/>
      <c r="J21" s="46">
        <f>C21*H21</f>
        <v>2978.2455309973429</v>
      </c>
      <c r="K21" s="83">
        <f>F21*(H21)</f>
        <v>0.12035237058238837</v>
      </c>
      <c r="L21" s="84"/>
    </row>
    <row r="22" spans="1:12" ht="12.75" customHeight="1" x14ac:dyDescent="0.25">
      <c r="A22" s="338" t="s">
        <v>136</v>
      </c>
      <c r="B22" s="135">
        <v>12.215429457519637</v>
      </c>
      <c r="C22" s="46">
        <v>563.68169907994718</v>
      </c>
      <c r="D22" s="135">
        <v>5481.3790646208545</v>
      </c>
      <c r="E22" s="135"/>
      <c r="F22" s="83">
        <f>IF(D22&lt;&gt;0,C22/D22,0)</f>
        <v>0.10283574488000437</v>
      </c>
      <c r="G22" s="159"/>
      <c r="H22" s="54">
        <v>1.2111795318702914</v>
      </c>
      <c r="I22" s="72"/>
      <c r="J22" s="46">
        <f>C22*H22</f>
        <v>682.71973641550085</v>
      </c>
      <c r="K22" s="83">
        <f>F22*(H22)</f>
        <v>0.1245525493432964</v>
      </c>
      <c r="L22" s="84"/>
    </row>
    <row r="23" spans="1:12" ht="12.75" customHeight="1" x14ac:dyDescent="0.25">
      <c r="A23" s="337" t="s">
        <v>137</v>
      </c>
      <c r="B23" s="135">
        <v>8.5280137127704876</v>
      </c>
      <c r="C23" s="46">
        <v>463.06095127707277</v>
      </c>
      <c r="D23" s="135">
        <v>3692.1536900341875</v>
      </c>
      <c r="E23" s="135"/>
      <c r="F23" s="83">
        <f>IF(D23&lt;&gt;0,C23/D23,0)</f>
        <v>0.12541757200599768</v>
      </c>
      <c r="G23" s="159"/>
      <c r="H23" s="54">
        <v>1.5249384833271007</v>
      </c>
      <c r="I23" s="72"/>
      <c r="J23" s="46">
        <f>C23*H23</f>
        <v>706.13946472846385</v>
      </c>
      <c r="K23" s="83">
        <f>F23*(H23)</f>
        <v>0.19125408203739355</v>
      </c>
      <c r="L23" s="84"/>
    </row>
    <row r="24" spans="1:12" ht="12.75" customHeight="1" x14ac:dyDescent="0.25">
      <c r="A24" s="337" t="s">
        <v>107</v>
      </c>
      <c r="B24" s="135">
        <v>0</v>
      </c>
      <c r="C24" s="46">
        <v>0</v>
      </c>
      <c r="D24" s="135">
        <v>0</v>
      </c>
      <c r="E24" s="135"/>
      <c r="F24" s="83">
        <f>IF(D24&lt;&gt;0,C24/D24,0)</f>
        <v>0</v>
      </c>
      <c r="G24" s="159"/>
      <c r="H24" s="54">
        <v>1.2111795318702914</v>
      </c>
      <c r="I24" s="72"/>
      <c r="J24" s="46">
        <f>C24*H24</f>
        <v>0</v>
      </c>
      <c r="K24" s="83">
        <f>F24*(H24)</f>
        <v>0</v>
      </c>
      <c r="L24" s="84"/>
    </row>
    <row r="25" spans="1:12" ht="12.75" customHeight="1" x14ac:dyDescent="0.25">
      <c r="A25" s="337" t="s">
        <v>277</v>
      </c>
      <c r="B25" s="135">
        <f>SUM(B21:B24)</f>
        <v>76.355731882412329</v>
      </c>
      <c r="C25" s="46">
        <f>SUM(C21:C24)</f>
        <v>3323.9021787993956</v>
      </c>
      <c r="D25" s="135">
        <f>SUM(D21:D24)</f>
        <v>33919.580685290159</v>
      </c>
      <c r="E25" s="135"/>
      <c r="F25" s="83">
        <f>IF(D25&lt;&gt;0,C25/D25,0)</f>
        <v>9.7993610523636754E-2</v>
      </c>
      <c r="G25" s="159"/>
      <c r="H25" s="54"/>
      <c r="I25" s="72"/>
      <c r="J25" s="46">
        <f>SUM(J21:J24)</f>
        <v>4367.104732141308</v>
      </c>
      <c r="K25" s="83">
        <f>SUMPRODUCT(K21:K24,D21:D24)/D25</f>
        <v>0.12874878297169465</v>
      </c>
      <c r="L25" s="84"/>
    </row>
    <row r="26" spans="1:12" ht="5.0999999999999996" customHeight="1" x14ac:dyDescent="0.25">
      <c r="A26" s="81"/>
      <c r="B26" s="135"/>
      <c r="C26" s="135"/>
      <c r="D26" s="135"/>
      <c r="E26" s="135"/>
      <c r="F26" s="83"/>
      <c r="G26" s="159"/>
      <c r="H26" s="54"/>
      <c r="I26" s="72"/>
      <c r="J26" s="46"/>
      <c r="K26" s="83"/>
      <c r="L26" s="84"/>
    </row>
    <row r="27" spans="1:12" ht="12.75" customHeight="1" x14ac:dyDescent="0.25">
      <c r="A27" s="21" t="s">
        <v>276</v>
      </c>
      <c r="B27" s="135"/>
      <c r="C27" s="135"/>
      <c r="D27" s="135"/>
      <c r="E27" s="135"/>
      <c r="F27" s="83"/>
      <c r="G27" s="159"/>
      <c r="H27" s="54"/>
      <c r="I27" s="72"/>
      <c r="J27" s="46"/>
      <c r="K27" s="83"/>
      <c r="L27" s="84"/>
    </row>
    <row r="28" spans="1:12" ht="12.75" customHeight="1" x14ac:dyDescent="0.25">
      <c r="A28" s="337" t="s">
        <v>135</v>
      </c>
      <c r="B28" s="135">
        <v>29.65032294072763</v>
      </c>
      <c r="C28" s="46">
        <v>1158.0437699402007</v>
      </c>
      <c r="D28" s="135">
        <v>21991.75082753996</v>
      </c>
      <c r="E28" s="135"/>
      <c r="F28" s="83">
        <f>IF(D28&lt;&gt;0,C28/D28,0)</f>
        <v>5.2658097985086243E-2</v>
      </c>
      <c r="G28" s="159"/>
      <c r="H28" s="54">
        <v>1.2964905110516152</v>
      </c>
      <c r="I28" s="72"/>
      <c r="J28" s="46">
        <f>C28*H28</f>
        <v>1501.39275910991</v>
      </c>
      <c r="K28" s="83">
        <f>F28*(H28)</f>
        <v>6.8270724367690494E-2</v>
      </c>
      <c r="L28" s="84"/>
    </row>
    <row r="29" spans="1:12" ht="12.75" customHeight="1" x14ac:dyDescent="0.25">
      <c r="A29" s="338" t="s">
        <v>136</v>
      </c>
      <c r="B29" s="135">
        <v>15.832297289455147</v>
      </c>
      <c r="C29" s="46">
        <v>363.76148154041891</v>
      </c>
      <c r="D29" s="135">
        <v>11220.475570039142</v>
      </c>
      <c r="E29" s="135"/>
      <c r="F29" s="83">
        <f>IF(D29&lt;&gt;0,C29/D29,0)</f>
        <v>3.2419435278815904E-2</v>
      </c>
      <c r="G29" s="159"/>
      <c r="H29" s="54">
        <v>1.2111795318702914</v>
      </c>
      <c r="I29" s="72"/>
      <c r="J29" s="46">
        <f>C29*H29</f>
        <v>440.58046092456823</v>
      </c>
      <c r="K29" s="83">
        <f>F29*(H29)</f>
        <v>3.9265756444495453E-2</v>
      </c>
      <c r="L29" s="84"/>
    </row>
    <row r="30" spans="1:12" ht="12.75" customHeight="1" x14ac:dyDescent="0.25">
      <c r="A30" s="337" t="s">
        <v>137</v>
      </c>
      <c r="B30" s="135">
        <v>12.497440535645643</v>
      </c>
      <c r="C30" s="46">
        <v>1205.1095623648921</v>
      </c>
      <c r="D30" s="135">
        <v>6436.217385537564</v>
      </c>
      <c r="E30" s="135"/>
      <c r="F30" s="83">
        <f>IF(D30&lt;&gt;0,C30/D30,0)</f>
        <v>0.18723879107514627</v>
      </c>
      <c r="G30" s="159"/>
      <c r="H30" s="54">
        <v>1.5249384833271007</v>
      </c>
      <c r="I30" s="72"/>
      <c r="J30" s="46">
        <f>C30*H30</f>
        <v>1837.7179482757047</v>
      </c>
      <c r="K30" s="83">
        <f>F30*(H30)</f>
        <v>0.28552763808213344</v>
      </c>
      <c r="L30" s="84"/>
    </row>
    <row r="31" spans="1:12" ht="12.75" customHeight="1" x14ac:dyDescent="0.25">
      <c r="A31" s="337" t="s">
        <v>107</v>
      </c>
      <c r="B31" s="135">
        <v>0.10609438331538082</v>
      </c>
      <c r="C31" s="46">
        <v>4.2084034652178852</v>
      </c>
      <c r="D31" s="135">
        <v>81.037286663657625</v>
      </c>
      <c r="E31" s="135"/>
      <c r="F31" s="83">
        <f>IF(D31&lt;&gt;0,C31/D31,0)</f>
        <v>5.1931692662474181E-2</v>
      </c>
      <c r="G31" s="159"/>
      <c r="H31" s="54">
        <v>1.2111795318702914</v>
      </c>
      <c r="I31" s="72"/>
      <c r="J31" s="46">
        <f>C31*H31</f>
        <v>5.0971321389239099</v>
      </c>
      <c r="K31" s="83">
        <f>F31*(H31)</f>
        <v>6.2898603208167328E-2</v>
      </c>
      <c r="L31" s="84"/>
    </row>
    <row r="32" spans="1:12" ht="12.75" customHeight="1" x14ac:dyDescent="0.25">
      <c r="A32" s="337" t="s">
        <v>277</v>
      </c>
      <c r="B32" s="135">
        <f>SUM(B28:B31)</f>
        <v>58.086155149143799</v>
      </c>
      <c r="C32" s="46">
        <f>SUM(C28:C31)</f>
        <v>2731.1232173107296</v>
      </c>
      <c r="D32" s="135">
        <f>SUM(D28:D31)</f>
        <v>39729.481069780326</v>
      </c>
      <c r="E32" s="135"/>
      <c r="F32" s="83">
        <f>IF(D32&lt;&gt;0,C32/D32,0)</f>
        <v>6.874298741818001E-2</v>
      </c>
      <c r="G32" s="159"/>
      <c r="H32" s="54"/>
      <c r="I32" s="72"/>
      <c r="J32" s="46">
        <f>SUM(J28:J31)</f>
        <v>3784.7883004491068</v>
      </c>
      <c r="K32" s="83">
        <f>SUMPRODUCT(K28:K31,D28:D31)/D32</f>
        <v>9.5263975227905834E-2</v>
      </c>
      <c r="L32" s="84"/>
    </row>
    <row r="33" spans="1:12" ht="5.0999999999999996" customHeight="1" x14ac:dyDescent="0.25">
      <c r="A33" s="81"/>
      <c r="B33" s="135"/>
      <c r="C33" s="46"/>
      <c r="D33" s="135"/>
      <c r="E33" s="135"/>
      <c r="F33" s="83"/>
      <c r="G33" s="159"/>
      <c r="H33" s="54"/>
      <c r="I33" s="72"/>
      <c r="J33" s="46"/>
      <c r="K33" s="83"/>
      <c r="L33" s="84"/>
    </row>
    <row r="34" spans="1:12" ht="12.75" customHeight="1" x14ac:dyDescent="0.25">
      <c r="A34" s="89" t="s">
        <v>288</v>
      </c>
      <c r="B34" s="135"/>
      <c r="C34" s="46"/>
      <c r="D34" s="135"/>
      <c r="E34" s="135"/>
      <c r="F34" s="83"/>
      <c r="G34" s="159"/>
      <c r="H34" s="54"/>
      <c r="I34" s="72"/>
      <c r="J34" s="46"/>
      <c r="K34" s="83"/>
      <c r="L34" s="84"/>
    </row>
    <row r="35" spans="1:12" x14ac:dyDescent="0.25">
      <c r="A35" s="337" t="s">
        <v>135</v>
      </c>
      <c r="B35" s="135">
        <f t="shared" ref="B35:D38" si="0">SUM(B7,B14,B21,B28)</f>
        <v>166.78511413386983</v>
      </c>
      <c r="C35" s="46">
        <f t="shared" si="0"/>
        <v>6584.7927853352994</v>
      </c>
      <c r="D35" s="135">
        <f t="shared" si="0"/>
        <v>84008.170274556789</v>
      </c>
      <c r="E35" s="135"/>
      <c r="F35" s="83">
        <f>IF(D35&lt;&gt;0,C35/D35,0)</f>
        <v>7.8382766388254602E-2</v>
      </c>
      <c r="G35" s="159"/>
      <c r="H35" s="54">
        <v>1.2964905110516152</v>
      </c>
      <c r="I35" s="72"/>
      <c r="J35" s="46">
        <f>SUM(J7,J14,J21,J28)</f>
        <v>8537.1213634283522</v>
      </c>
      <c r="K35" s="83">
        <f>F35*(H35)</f>
        <v>0.10162251285234757</v>
      </c>
      <c r="L35" s="84"/>
    </row>
    <row r="36" spans="1:12" x14ac:dyDescent="0.25">
      <c r="A36" s="338" t="s">
        <v>136</v>
      </c>
      <c r="B36" s="135">
        <f t="shared" si="0"/>
        <v>47.247088781309593</v>
      </c>
      <c r="C36" s="46">
        <f t="shared" si="0"/>
        <v>1682.6582249900512</v>
      </c>
      <c r="D36" s="135">
        <f t="shared" si="0"/>
        <v>25603.264696589817</v>
      </c>
      <c r="E36" s="135"/>
      <c r="F36" s="83">
        <f>IF(D36&lt;&gt;0,C36/D36,0)</f>
        <v>6.5720455767274477E-2</v>
      </c>
      <c r="G36" s="159"/>
      <c r="H36" s="54">
        <v>1.2111795318702914</v>
      </c>
      <c r="I36" s="72"/>
      <c r="J36" s="46">
        <f>SUM(J8,J15,J22,J29)</f>
        <v>2038.0012012411457</v>
      </c>
      <c r="K36" s="83">
        <f>F36*(H36)</f>
        <v>7.959927085050969E-2</v>
      </c>
      <c r="L36" s="84"/>
    </row>
    <row r="37" spans="1:12" x14ac:dyDescent="0.25">
      <c r="A37" s="337" t="s">
        <v>137</v>
      </c>
      <c r="B37" s="135">
        <f t="shared" si="0"/>
        <v>52.427986238335023</v>
      </c>
      <c r="C37" s="46">
        <f t="shared" si="0"/>
        <v>2243.5621903532624</v>
      </c>
      <c r="D37" s="135">
        <f t="shared" si="0"/>
        <v>18799.155587262558</v>
      </c>
      <c r="E37" s="135"/>
      <c r="F37" s="83">
        <f>IF(D37&lt;&gt;0,C37/D37,0)</f>
        <v>0.11934377477429874</v>
      </c>
      <c r="G37" s="159"/>
      <c r="H37" s="54">
        <v>1.5249384833271007</v>
      </c>
      <c r="I37" s="72"/>
      <c r="J37" s="46">
        <f>SUM(J9,J16,J23,J30)</f>
        <v>3421.2943238073317</v>
      </c>
      <c r="K37" s="83">
        <f>F37*(H37)</f>
        <v>0.18199191489885022</v>
      </c>
      <c r="L37" s="84"/>
    </row>
    <row r="38" spans="1:12" x14ac:dyDescent="0.25">
      <c r="A38" s="337" t="s">
        <v>107</v>
      </c>
      <c r="B38" s="135">
        <f t="shared" si="0"/>
        <v>0.66310986046621045</v>
      </c>
      <c r="C38" s="46">
        <f t="shared" si="0"/>
        <v>26.303313591168987</v>
      </c>
      <c r="D38" s="135">
        <f t="shared" si="0"/>
        <v>537.40958829813314</v>
      </c>
      <c r="E38" s="135"/>
      <c r="F38" s="83">
        <f>IF(D38&lt;&gt;0,C38/D38,0)</f>
        <v>4.894463024834788E-2</v>
      </c>
      <c r="G38" s="159"/>
      <c r="H38" s="54">
        <v>1.2111795318702914</v>
      </c>
      <c r="I38" s="72"/>
      <c r="J38" s="46">
        <f>SUM(J10,J17,J24,J31)</f>
        <v>31.858035041989528</v>
      </c>
      <c r="K38" s="83">
        <f>F38*(H38)</f>
        <v>5.9280734351758485E-2</v>
      </c>
      <c r="L38" s="84"/>
    </row>
    <row r="39" spans="1:12" x14ac:dyDescent="0.25">
      <c r="A39" s="338" t="s">
        <v>102</v>
      </c>
      <c r="B39" s="135">
        <f>SUM(B35:B38)</f>
        <v>267.12329901398061</v>
      </c>
      <c r="C39" s="46">
        <f>SUM(C35:C38)</f>
        <v>10537.316514269782</v>
      </c>
      <c r="D39" s="135">
        <f>SUM(D35:D38)</f>
        <v>128948.0001467073</v>
      </c>
      <c r="E39" s="135"/>
      <c r="F39" s="83"/>
      <c r="G39" s="159"/>
      <c r="H39" s="54"/>
      <c r="I39" s="72"/>
      <c r="J39" s="46">
        <f>SUM(J35:J38)</f>
        <v>14028.274923518818</v>
      </c>
      <c r="K39" s="83">
        <f>SUMPRODUCT(K35:K38,D35:D38)/D39</f>
        <v>0.10879017051492466</v>
      </c>
      <c r="L39" s="84"/>
    </row>
    <row r="40" spans="1:12" ht="5.0999999999999996" customHeight="1" x14ac:dyDescent="0.25">
      <c r="A40" s="81"/>
      <c r="B40" s="135"/>
      <c r="C40" s="46"/>
      <c r="D40" s="135"/>
      <c r="E40" s="135"/>
      <c r="F40" s="83"/>
      <c r="G40" s="159"/>
      <c r="H40" s="54"/>
      <c r="I40" s="72"/>
      <c r="J40" s="46"/>
      <c r="K40" s="83"/>
      <c r="L40" s="84"/>
    </row>
    <row r="41" spans="1:12" x14ac:dyDescent="0.25">
      <c r="A41" s="81"/>
      <c r="B41" s="135"/>
      <c r="C41" s="46"/>
      <c r="D41" s="135"/>
      <c r="E41" s="135"/>
      <c r="F41" s="83"/>
      <c r="G41" s="159"/>
      <c r="H41" s="54"/>
      <c r="I41" s="72"/>
      <c r="J41" s="46"/>
      <c r="K41" s="83"/>
      <c r="L41" s="84"/>
    </row>
    <row r="42" spans="1:12" ht="15.6" x14ac:dyDescent="0.3">
      <c r="A42" s="158" t="s">
        <v>55</v>
      </c>
      <c r="L42" s="84"/>
    </row>
    <row r="43" spans="1:12" ht="15.6" x14ac:dyDescent="0.3">
      <c r="A43" s="158" t="s">
        <v>787</v>
      </c>
      <c r="L43" s="84"/>
    </row>
    <row r="44" spans="1:12" ht="26.4" x14ac:dyDescent="0.25">
      <c r="A44" s="4"/>
      <c r="B44" s="189" t="s">
        <v>248</v>
      </c>
      <c r="C44" s="146" t="s">
        <v>249</v>
      </c>
      <c r="D44" s="168" t="s">
        <v>250</v>
      </c>
      <c r="E44" s="168"/>
      <c r="F44" s="169" t="s">
        <v>207</v>
      </c>
      <c r="G44" s="159"/>
      <c r="H44" s="190" t="s">
        <v>246</v>
      </c>
      <c r="I44" s="159"/>
      <c r="J44" s="189" t="s">
        <v>110</v>
      </c>
      <c r="K44" s="41" t="s">
        <v>133</v>
      </c>
      <c r="L44" s="84"/>
    </row>
    <row r="45" spans="1:12" x14ac:dyDescent="0.25">
      <c r="A45" s="15" t="s">
        <v>385</v>
      </c>
      <c r="B45" s="135"/>
      <c r="C45" s="46"/>
      <c r="D45" s="135"/>
      <c r="E45" s="135"/>
      <c r="F45" s="83"/>
      <c r="G45" s="159"/>
      <c r="H45" s="54"/>
      <c r="I45" s="72"/>
      <c r="J45" s="46"/>
      <c r="K45" s="83"/>
      <c r="L45" s="84"/>
    </row>
    <row r="46" spans="1:12" ht="5.0999999999999996" customHeight="1" x14ac:dyDescent="0.25">
      <c r="A46" s="81"/>
      <c r="B46" s="135"/>
      <c r="C46" s="46"/>
      <c r="D46" s="135"/>
      <c r="E46" s="135"/>
      <c r="F46" s="83"/>
      <c r="G46" s="159"/>
      <c r="H46" s="54"/>
      <c r="I46" s="72"/>
      <c r="J46" s="46"/>
      <c r="K46" s="83"/>
      <c r="L46" s="84"/>
    </row>
    <row r="47" spans="1:12" x14ac:dyDescent="0.25">
      <c r="A47" s="89" t="s">
        <v>386</v>
      </c>
      <c r="B47" s="135"/>
      <c r="C47" s="46"/>
      <c r="D47" s="135"/>
      <c r="E47" s="135"/>
      <c r="F47" s="41"/>
      <c r="G47" s="159"/>
      <c r="H47" s="54"/>
      <c r="I47" s="72"/>
      <c r="J47" s="42"/>
      <c r="K47" s="41"/>
      <c r="L47" s="84"/>
    </row>
    <row r="48" spans="1:12" x14ac:dyDescent="0.25">
      <c r="A48" s="337" t="s">
        <v>135</v>
      </c>
      <c r="B48" s="135">
        <v>26.755093436016388</v>
      </c>
      <c r="C48" s="46">
        <v>948.68857251575196</v>
      </c>
      <c r="D48" s="135">
        <v>17681.980871689477</v>
      </c>
      <c r="E48" s="135"/>
      <c r="F48" s="83">
        <f>IF(D48&lt;&gt;0,C48/D48,0)</f>
        <v>5.3652844633187681E-2</v>
      </c>
      <c r="G48" s="159"/>
      <c r="H48" s="54">
        <v>1.2964905110516152</v>
      </c>
      <c r="I48" s="72"/>
      <c r="J48" s="46">
        <f>C48*H48</f>
        <v>1229.9657322097746</v>
      </c>
      <c r="K48" s="83">
        <f>F48*(H48)</f>
        <v>6.95604039578544E-2</v>
      </c>
      <c r="L48" s="84"/>
    </row>
    <row r="49" spans="1:12" x14ac:dyDescent="0.25">
      <c r="A49" s="338" t="s">
        <v>136</v>
      </c>
      <c r="B49" s="135">
        <v>8.6185784768044105</v>
      </c>
      <c r="C49" s="46">
        <v>379.22950311738788</v>
      </c>
      <c r="D49" s="135">
        <v>7250.2433824981608</v>
      </c>
      <c r="E49" s="135"/>
      <c r="F49" s="83">
        <f>IF(D49&lt;&gt;0,C49/D49,0)</f>
        <v>5.2305761766954596E-2</v>
      </c>
      <c r="G49" s="159"/>
      <c r="H49" s="54">
        <v>1.2111795318702914</v>
      </c>
      <c r="I49" s="72"/>
      <c r="J49" s="46">
        <f>C49*H49</f>
        <v>459.31501205712107</v>
      </c>
      <c r="K49" s="83">
        <f>F49*(H49)</f>
        <v>6.335166805101905E-2</v>
      </c>
      <c r="L49" s="84"/>
    </row>
    <row r="50" spans="1:12" x14ac:dyDescent="0.25">
      <c r="A50" s="337" t="s">
        <v>137</v>
      </c>
      <c r="B50" s="53">
        <v>4.4373413003632747</v>
      </c>
      <c r="C50" s="46">
        <v>344.78393180091064</v>
      </c>
      <c r="D50" s="53">
        <v>2932.1961977973797</v>
      </c>
      <c r="E50" s="135"/>
      <c r="F50" s="83">
        <f>IF(D50&lt;&gt;0,C50/D50,0)</f>
        <v>0.11758555994987886</v>
      </c>
      <c r="G50" s="159"/>
      <c r="H50" s="54">
        <v>1.5249384833271007</v>
      </c>
      <c r="I50" s="72"/>
      <c r="J50" s="46">
        <f>C50*H50</f>
        <v>525.77428603603516</v>
      </c>
      <c r="K50" s="83">
        <f>F50*(H50)</f>
        <v>0.17931074545113615</v>
      </c>
      <c r="L50" s="84"/>
    </row>
    <row r="51" spans="1:12" x14ac:dyDescent="0.25">
      <c r="A51" s="337" t="s">
        <v>107</v>
      </c>
      <c r="B51" s="53">
        <v>0.21209361442992128</v>
      </c>
      <c r="C51" s="46">
        <v>8.4130325661459153</v>
      </c>
      <c r="D51" s="53">
        <v>185.61541044978171</v>
      </c>
      <c r="E51" s="135"/>
      <c r="F51" s="83">
        <f>IF(D51&lt;&gt;0,C51/D51,0)</f>
        <v>4.5325075896228258E-2</v>
      </c>
      <c r="G51" s="159"/>
      <c r="H51" s="54">
        <v>1.2111795318702914</v>
      </c>
      <c r="I51" s="72"/>
      <c r="J51" s="46">
        <f>C51*H51</f>
        <v>10.189692845074125</v>
      </c>
      <c r="K51" s="83">
        <f>F51*(H51)</f>
        <v>5.4896804205979172E-2</v>
      </c>
      <c r="L51" s="84"/>
    </row>
    <row r="52" spans="1:12" x14ac:dyDescent="0.25">
      <c r="A52" s="337" t="s">
        <v>277</v>
      </c>
      <c r="B52" s="53">
        <f>SUM(B48:B51)</f>
        <v>40.023106827613987</v>
      </c>
      <c r="C52" s="46">
        <f>SUM(C48:C51)</f>
        <v>1681.1150400001961</v>
      </c>
      <c r="D52" s="53">
        <f>SUM(D48:D51)</f>
        <v>28050.035862434797</v>
      </c>
      <c r="E52" s="135"/>
      <c r="F52" s="41"/>
      <c r="G52" s="159"/>
      <c r="H52" s="54"/>
      <c r="I52" s="72"/>
      <c r="J52" s="46">
        <f>SUM(J48:J51)</f>
        <v>2225.2447231480051</v>
      </c>
      <c r="K52" s="83">
        <f>SUMPRODUCT(K48:K51,D48:D51)/D52</f>
        <v>7.9331261252613916E-2</v>
      </c>
      <c r="L52" s="84"/>
    </row>
    <row r="53" spans="1:12" x14ac:dyDescent="0.25">
      <c r="A53" s="21"/>
      <c r="B53" s="135"/>
      <c r="C53" s="135"/>
      <c r="D53" s="135"/>
      <c r="E53" s="135"/>
      <c r="F53" s="83"/>
      <c r="G53" s="159"/>
      <c r="H53" s="54"/>
      <c r="I53" s="72"/>
      <c r="J53" s="46"/>
      <c r="K53" s="83"/>
      <c r="L53" s="84"/>
    </row>
    <row r="54" spans="1:12" ht="5.0999999999999996" customHeight="1" x14ac:dyDescent="0.25">
      <c r="B54" s="57"/>
      <c r="C54" s="57"/>
      <c r="D54" s="57"/>
      <c r="E54" s="40"/>
      <c r="F54" s="41"/>
      <c r="G54" s="159"/>
      <c r="H54" s="54"/>
      <c r="I54" s="72"/>
      <c r="J54" s="42"/>
      <c r="K54" s="41"/>
    </row>
    <row r="55" spans="1:12" x14ac:dyDescent="0.25">
      <c r="A55" s="89" t="s">
        <v>387</v>
      </c>
      <c r="B55" s="57"/>
      <c r="C55" s="57"/>
      <c r="D55" s="57"/>
      <c r="E55" s="40"/>
      <c r="F55" s="41"/>
      <c r="G55" s="159"/>
      <c r="H55" s="54"/>
      <c r="I55" s="72"/>
      <c r="J55" s="42"/>
      <c r="K55" s="41"/>
    </row>
    <row r="56" spans="1:12" x14ac:dyDescent="0.25">
      <c r="A56" s="337" t="s">
        <v>135</v>
      </c>
      <c r="B56" s="135">
        <v>21.65648535635367</v>
      </c>
      <c r="C56" s="46">
        <v>918.42904170131931</v>
      </c>
      <c r="D56" s="135">
        <v>17674.118639388296</v>
      </c>
      <c r="E56" s="135"/>
      <c r="F56" s="83">
        <f>IF(D56&lt;&gt;0,C56/D56,0)</f>
        <v>5.196463034114307E-2</v>
      </c>
      <c r="G56" s="159"/>
      <c r="H56" s="54">
        <v>1.2964905110516152</v>
      </c>
      <c r="I56" s="72"/>
      <c r="J56" s="46">
        <f>C56*H56</f>
        <v>1190.7345376399887</v>
      </c>
      <c r="K56" s="83">
        <f>F56*(H56)</f>
        <v>6.7371650147596843E-2</v>
      </c>
    </row>
    <row r="57" spans="1:12" x14ac:dyDescent="0.25">
      <c r="A57" s="338" t="s">
        <v>136</v>
      </c>
      <c r="B57" s="135">
        <v>10.125013085410611</v>
      </c>
      <c r="C57" s="46">
        <v>432.12743708159087</v>
      </c>
      <c r="D57" s="135">
        <v>8235.8377783922697</v>
      </c>
      <c r="E57" s="135"/>
      <c r="F57" s="83">
        <f>IF(D57&lt;&gt;0,C57/D57,0)</f>
        <v>5.2469153559013777E-2</v>
      </c>
      <c r="G57" s="159"/>
      <c r="H57" s="54">
        <v>1.2111795318702914</v>
      </c>
      <c r="I57" s="72"/>
      <c r="J57" s="46">
        <f>C57*H57</f>
        <v>523.38390695278997</v>
      </c>
      <c r="K57" s="83">
        <f>F57*(H57)</f>
        <v>6.3549564845236745E-2</v>
      </c>
    </row>
    <row r="58" spans="1:12" x14ac:dyDescent="0.25">
      <c r="A58" s="337" t="s">
        <v>137</v>
      </c>
      <c r="B58" s="53">
        <v>3.1002773596929867</v>
      </c>
      <c r="C58" s="46">
        <v>99.734263374768446</v>
      </c>
      <c r="D58" s="53">
        <v>2625.4112617082324</v>
      </c>
      <c r="E58" s="135"/>
      <c r="F58" s="83">
        <f>IF(D58&lt;&gt;0,C58/D58,0)</f>
        <v>3.7988053464003205E-2</v>
      </c>
      <c r="G58" s="159"/>
      <c r="H58" s="54">
        <v>1.5249384833271007</v>
      </c>
      <c r="I58" s="72"/>
      <c r="J58" s="46">
        <f>C58*H58</f>
        <v>152.088616326465</v>
      </c>
      <c r="K58" s="83">
        <f>F58*(H58)</f>
        <v>5.7929444633945858E-2</v>
      </c>
    </row>
    <row r="59" spans="1:12" x14ac:dyDescent="0.25">
      <c r="A59" s="337" t="s">
        <v>107</v>
      </c>
      <c r="B59" s="53">
        <v>0</v>
      </c>
      <c r="C59" s="46">
        <v>0</v>
      </c>
      <c r="D59" s="53">
        <v>0</v>
      </c>
      <c r="E59" s="135"/>
      <c r="F59" s="83">
        <f>IF(D59&lt;&gt;0,C59/D59,0)</f>
        <v>0</v>
      </c>
      <c r="G59" s="159"/>
      <c r="H59" s="54">
        <v>1.2111795318702914</v>
      </c>
      <c r="I59" s="72"/>
      <c r="J59" s="46">
        <f>C59*H59</f>
        <v>0</v>
      </c>
      <c r="K59" s="83">
        <f>F59*(H59)</f>
        <v>0</v>
      </c>
    </row>
    <row r="60" spans="1:12" x14ac:dyDescent="0.25">
      <c r="A60" s="337" t="s">
        <v>277</v>
      </c>
      <c r="B60" s="53">
        <f>SUM(B56:B59)</f>
        <v>34.881775801457266</v>
      </c>
      <c r="C60" s="46">
        <f>SUM(C56:C59)</f>
        <v>1450.2907421576788</v>
      </c>
      <c r="D60" s="53">
        <f>SUM(D56:D59)</f>
        <v>28535.367679488798</v>
      </c>
      <c r="E60" s="135"/>
      <c r="F60" s="41"/>
      <c r="G60" s="159"/>
      <c r="H60" s="54"/>
      <c r="I60" s="72"/>
      <c r="J60" s="46">
        <f>SUM(J56:J59)</f>
        <v>1866.2070609192438</v>
      </c>
      <c r="K60" s="83">
        <f>SUMPRODUCT(K56:K59,D56:D59)/D60</f>
        <v>6.5399790249090498E-2</v>
      </c>
    </row>
    <row r="61" spans="1:12" ht="5.0999999999999996" customHeight="1" x14ac:dyDescent="0.25">
      <c r="B61" s="135"/>
      <c r="C61" s="135"/>
      <c r="D61" s="135"/>
      <c r="E61" s="135"/>
      <c r="F61" s="41"/>
      <c r="G61" s="159"/>
      <c r="H61" s="54"/>
      <c r="I61" s="72"/>
      <c r="J61" s="42"/>
      <c r="K61" s="41"/>
    </row>
    <row r="62" spans="1:12" x14ac:dyDescent="0.25">
      <c r="A62" s="89" t="s">
        <v>388</v>
      </c>
      <c r="B62" s="11"/>
      <c r="C62" s="11"/>
      <c r="D62" s="11"/>
      <c r="E62" s="11"/>
      <c r="F62" s="11"/>
      <c r="G62" s="11"/>
      <c r="I62" s="11"/>
      <c r="J62" s="11"/>
      <c r="K62" s="11"/>
    </row>
    <row r="63" spans="1:12" x14ac:dyDescent="0.25">
      <c r="A63" s="337" t="s">
        <v>135</v>
      </c>
      <c r="B63" s="135">
        <v>33.752950981410962</v>
      </c>
      <c r="C63" s="46">
        <v>1458.7819544304</v>
      </c>
      <c r="D63" s="135">
        <v>28157.09068859211</v>
      </c>
      <c r="E63" s="11"/>
      <c r="F63" s="83">
        <f>IF(D63&lt;&gt;0,C63/D63,0)</f>
        <v>5.1808688992908906E-2</v>
      </c>
      <c r="G63" s="11"/>
      <c r="H63" s="54">
        <v>1.2964905110516152</v>
      </c>
      <c r="I63" s="11"/>
      <c r="J63" s="46">
        <f>C63*H63</f>
        <v>1891.2969616123432</v>
      </c>
      <c r="K63" s="83">
        <f>F63*(H63)</f>
        <v>6.7169473669330654E-2</v>
      </c>
    </row>
    <row r="64" spans="1:12" x14ac:dyDescent="0.25">
      <c r="A64" s="338" t="s">
        <v>136</v>
      </c>
      <c r="B64" s="135">
        <v>14.210234602652635</v>
      </c>
      <c r="C64" s="46">
        <v>646.13776835125941</v>
      </c>
      <c r="D64" s="135">
        <v>12393.191880318571</v>
      </c>
      <c r="E64" s="11"/>
      <c r="F64" s="83">
        <f>IF(D64&lt;&gt;0,C64/D64,0)</f>
        <v>5.2136509673297353E-2</v>
      </c>
      <c r="G64" s="11"/>
      <c r="H64" s="54">
        <v>1.2111795318702914</v>
      </c>
      <c r="I64" s="11"/>
      <c r="J64" s="46">
        <f>C64*H64</f>
        <v>782.58883979539314</v>
      </c>
      <c r="K64" s="83">
        <f>F64*(H64)</f>
        <v>6.3146673379455204E-2</v>
      </c>
    </row>
    <row r="65" spans="1:13" x14ac:dyDescent="0.25">
      <c r="A65" s="337" t="s">
        <v>137</v>
      </c>
      <c r="B65" s="53">
        <v>8.9293647073156706</v>
      </c>
      <c r="C65" s="46">
        <v>940.51948821849714</v>
      </c>
      <c r="D65" s="53">
        <v>4892.5487350060212</v>
      </c>
      <c r="E65" s="11"/>
      <c r="F65" s="83">
        <f>IF(D65&lt;&gt;0,C65/D65,0)</f>
        <v>0.19223507810747228</v>
      </c>
      <c r="G65" s="11"/>
      <c r="H65" s="54">
        <v>1.5249384833271007</v>
      </c>
      <c r="I65" s="11"/>
      <c r="J65" s="46">
        <f>C65*H65</f>
        <v>1434.2343619034959</v>
      </c>
      <c r="K65" s="83">
        <f>F65*(H65)</f>
        <v>0.29314666845147552</v>
      </c>
    </row>
    <row r="66" spans="1:13" x14ac:dyDescent="0.25">
      <c r="A66" s="337" t="s">
        <v>107</v>
      </c>
      <c r="B66" s="53">
        <v>0.29163643796427985</v>
      </c>
      <c r="C66" s="46">
        <v>11.568225930153904</v>
      </c>
      <c r="D66" s="53">
        <v>255.22794394518723</v>
      </c>
      <c r="E66" s="11"/>
      <c r="F66" s="83">
        <f>IF(D66&lt;&gt;0,C66/D66,0)</f>
        <v>4.5325075896228265E-2</v>
      </c>
      <c r="G66" s="11"/>
      <c r="H66" s="54">
        <v>1.2111795318702914</v>
      </c>
      <c r="I66" s="11"/>
      <c r="J66" s="46">
        <f>C66*H66</f>
        <v>14.011198466653571</v>
      </c>
      <c r="K66" s="83">
        <f>F66*(H66)</f>
        <v>5.4896804205979179E-2</v>
      </c>
    </row>
    <row r="67" spans="1:13" x14ac:dyDescent="0.25">
      <c r="A67" s="337" t="s">
        <v>277</v>
      </c>
      <c r="B67" s="53">
        <f>SUM(B63:B66)</f>
        <v>57.184186729343544</v>
      </c>
      <c r="C67" s="46">
        <f>SUM(C63:C66)</f>
        <v>3057.0074369303102</v>
      </c>
      <c r="D67" s="53">
        <f>SUM(D63:D66)</f>
        <v>45698.059247861893</v>
      </c>
      <c r="E67" s="11"/>
      <c r="F67" s="11"/>
      <c r="G67" s="11"/>
      <c r="I67" s="11"/>
      <c r="J67" s="46">
        <f>SUM(J63:J66)</f>
        <v>4122.131361777886</v>
      </c>
      <c r="K67" s="83">
        <f>SUMPRODUCT(K63:K66,D63:D66)/D67</f>
        <v>9.0203641678081786E-2</v>
      </c>
    </row>
    <row r="68" spans="1:13" ht="5.0999999999999996" customHeight="1" x14ac:dyDescent="0.25">
      <c r="A68" s="21"/>
      <c r="B68" s="135"/>
      <c r="C68" s="46"/>
      <c r="D68" s="135"/>
      <c r="E68" s="135"/>
      <c r="F68" s="41"/>
      <c r="G68" s="159"/>
      <c r="H68" s="54"/>
      <c r="I68" s="72"/>
      <c r="J68" s="42"/>
      <c r="K68" s="41"/>
    </row>
    <row r="69" spans="1:13" ht="12.75" customHeight="1" x14ac:dyDescent="0.25">
      <c r="A69" s="89" t="s">
        <v>389</v>
      </c>
      <c r="B69" s="135"/>
      <c r="C69" s="46"/>
      <c r="D69" s="135"/>
      <c r="E69" s="135"/>
      <c r="F69" s="83"/>
      <c r="G69" s="159"/>
      <c r="H69" s="54"/>
      <c r="I69" s="72"/>
      <c r="J69" s="46"/>
      <c r="K69" s="83"/>
    </row>
    <row r="70" spans="1:13" ht="12.75" customHeight="1" x14ac:dyDescent="0.25">
      <c r="A70" s="337" t="s">
        <v>135</v>
      </c>
      <c r="B70" s="135">
        <f t="shared" ref="B70:D73" si="1">SUM(B48,B56,B63)</f>
        <v>82.164529773781027</v>
      </c>
      <c r="C70" s="46">
        <f t="shared" si="1"/>
        <v>3325.8995686474709</v>
      </c>
      <c r="D70" s="135">
        <f t="shared" si="1"/>
        <v>63513.190199669887</v>
      </c>
      <c r="E70" s="135"/>
      <c r="F70" s="83">
        <f>IF(D70&lt;&gt;0,C70/D70,0)</f>
        <v>5.2365493816192488E-2</v>
      </c>
      <c r="G70" s="159"/>
      <c r="H70" s="54">
        <v>1.2964905110516152</v>
      </c>
      <c r="I70" s="72"/>
      <c r="J70" s="46">
        <f>C70*H70</f>
        <v>4311.9972314621064</v>
      </c>
      <c r="K70" s="83">
        <f>F70*(H70)</f>
        <v>6.7891365839225587E-2</v>
      </c>
    </row>
    <row r="71" spans="1:13" ht="12.75" customHeight="1" x14ac:dyDescent="0.25">
      <c r="A71" s="338" t="s">
        <v>136</v>
      </c>
      <c r="B71" s="135">
        <f t="shared" si="1"/>
        <v>32.953826164867657</v>
      </c>
      <c r="C71" s="46">
        <f t="shared" si="1"/>
        <v>1457.4947085502381</v>
      </c>
      <c r="D71" s="135">
        <f t="shared" si="1"/>
        <v>27879.273041209002</v>
      </c>
      <c r="E71" s="135"/>
      <c r="F71" s="83">
        <f>IF(D71&lt;&gt;0,C71/D71,0)</f>
        <v>5.2278791717268999E-2</v>
      </c>
      <c r="G71" s="159"/>
      <c r="H71" s="54">
        <v>1.2111795318702914</v>
      </c>
      <c r="I71" s="72"/>
      <c r="J71" s="46">
        <f>C71*H71</f>
        <v>1765.2877588053041</v>
      </c>
      <c r="K71" s="83">
        <f>F71*(H71)</f>
        <v>6.3319002478866335E-2</v>
      </c>
    </row>
    <row r="72" spans="1:13" ht="12.75" customHeight="1" x14ac:dyDescent="0.25">
      <c r="A72" s="337" t="s">
        <v>137</v>
      </c>
      <c r="B72" s="135">
        <f t="shared" si="1"/>
        <v>16.466983367371931</v>
      </c>
      <c r="C72" s="46">
        <f t="shared" si="1"/>
        <v>1385.0376833941762</v>
      </c>
      <c r="D72" s="135">
        <f t="shared" si="1"/>
        <v>10450.156194511634</v>
      </c>
      <c r="E72" s="135"/>
      <c r="F72" s="83">
        <f>IF(D72&lt;&gt;0,C72/D72,0)</f>
        <v>0.13253751021650667</v>
      </c>
      <c r="G72" s="159"/>
      <c r="H72" s="54">
        <v>1.5249384833271007</v>
      </c>
      <c r="I72" s="72"/>
      <c r="J72" s="46">
        <f>C72*H72</f>
        <v>2112.0972642659963</v>
      </c>
      <c r="K72" s="83">
        <f>F72*(H72)</f>
        <v>0.20211154981350979</v>
      </c>
    </row>
    <row r="73" spans="1:13" ht="12.75" customHeight="1" x14ac:dyDescent="0.25">
      <c r="A73" s="337" t="s">
        <v>107</v>
      </c>
      <c r="B73" s="135">
        <f t="shared" si="1"/>
        <v>0.5037300523942011</v>
      </c>
      <c r="C73" s="46">
        <f t="shared" si="1"/>
        <v>19.981258496299819</v>
      </c>
      <c r="D73" s="135">
        <f t="shared" si="1"/>
        <v>440.84335439496897</v>
      </c>
      <c r="E73" s="135"/>
      <c r="F73" s="83">
        <f>IF(D73&lt;&gt;0,C73/D73,0)</f>
        <v>4.5325075896228258E-2</v>
      </c>
      <c r="G73" s="159"/>
      <c r="H73" s="54">
        <v>1.2111795318702914</v>
      </c>
      <c r="I73" s="72"/>
      <c r="J73" s="46">
        <f>C73*H73</f>
        <v>24.200891311727698</v>
      </c>
      <c r="K73" s="83">
        <f>F73*(H73)</f>
        <v>5.4896804205979172E-2</v>
      </c>
    </row>
    <row r="74" spans="1:13" ht="12.75" customHeight="1" x14ac:dyDescent="0.25">
      <c r="A74" s="337" t="s">
        <v>102</v>
      </c>
      <c r="B74" s="135">
        <f>SUM(B70:B73)</f>
        <v>132.0890693584148</v>
      </c>
      <c r="C74" s="46">
        <f>SUM(C70:C73)</f>
        <v>6188.4132190881855</v>
      </c>
      <c r="D74" s="135">
        <f>SUM(D70:D73)</f>
        <v>102283.46278978548</v>
      </c>
      <c r="E74" s="135"/>
      <c r="F74" s="41"/>
      <c r="G74" s="159"/>
      <c r="H74" s="54"/>
      <c r="I74" s="72"/>
      <c r="J74" s="46">
        <f>SUM(J70:J73)</f>
        <v>8213.5831458451339</v>
      </c>
      <c r="K74" s="83">
        <f>SUMPRODUCT(K70:K73,D70:D73)/D74</f>
        <v>8.0302161481624987E-2</v>
      </c>
    </row>
    <row r="75" spans="1:13" ht="5.0999999999999996" customHeight="1" x14ac:dyDescent="0.25">
      <c r="A75" s="21"/>
      <c r="B75" s="135"/>
      <c r="C75" s="46"/>
      <c r="D75" s="135"/>
      <c r="E75" s="135"/>
      <c r="F75" s="41"/>
      <c r="G75" s="159"/>
      <c r="H75" s="54"/>
      <c r="I75" s="72"/>
      <c r="J75" s="42"/>
      <c r="K75" s="41"/>
    </row>
    <row r="76" spans="1:13" x14ac:dyDescent="0.25">
      <c r="A76" s="81"/>
      <c r="B76" s="135"/>
      <c r="C76" s="46"/>
      <c r="D76" s="135"/>
      <c r="E76" s="135"/>
      <c r="F76" s="83"/>
      <c r="G76" s="159"/>
      <c r="H76" s="54"/>
      <c r="I76" s="72"/>
      <c r="J76" s="46"/>
      <c r="K76" s="83"/>
      <c r="L76" s="84"/>
    </row>
    <row r="77" spans="1:13" x14ac:dyDescent="0.25">
      <c r="A77" s="15" t="s">
        <v>285</v>
      </c>
      <c r="B77" s="48"/>
      <c r="C77" s="42"/>
      <c r="D77" s="40"/>
      <c r="E77" s="40"/>
      <c r="F77" s="41"/>
      <c r="G77" s="159"/>
      <c r="H77" s="54"/>
      <c r="I77" s="72"/>
      <c r="J77" s="42"/>
      <c r="K77" s="41"/>
    </row>
    <row r="78" spans="1:13" x14ac:dyDescent="0.25">
      <c r="A78" s="337" t="s">
        <v>135</v>
      </c>
      <c r="B78" s="135">
        <v>305.76951244574178</v>
      </c>
      <c r="C78" s="46">
        <v>14307.471045854376</v>
      </c>
      <c r="D78" s="135">
        <v>402605.55414377339</v>
      </c>
      <c r="E78" s="135"/>
      <c r="F78" s="83">
        <f>IF(D78&lt;&gt;0,C78/D78,0)</f>
        <v>3.5537192417233951E-2</v>
      </c>
      <c r="G78" s="159"/>
      <c r="H78" s="54">
        <v>1.2964905110516152</v>
      </c>
      <c r="I78" s="72"/>
      <c r="J78" s="46">
        <f>C78*H78</f>
        <v>18549.500448095925</v>
      </c>
      <c r="K78" s="83">
        <f>F78*(H78)</f>
        <v>4.6073632758359226E-2</v>
      </c>
      <c r="M78" s="63"/>
    </row>
    <row r="79" spans="1:13" x14ac:dyDescent="0.25">
      <c r="A79" s="338" t="s">
        <v>136</v>
      </c>
      <c r="B79" s="135">
        <v>87.93420923980301</v>
      </c>
      <c r="C79" s="46">
        <v>3726.1693038417943</v>
      </c>
      <c r="D79" s="135">
        <v>115139.60354564952</v>
      </c>
      <c r="E79" s="135"/>
      <c r="F79" s="83">
        <f>IF(D79&lt;&gt;0,C79/D79,0)</f>
        <v>3.2362186329436826E-2</v>
      </c>
      <c r="G79" s="159"/>
      <c r="H79" s="54">
        <v>1.2111795318702914</v>
      </c>
      <c r="I79" s="72"/>
      <c r="J79" s="46">
        <f>C79*H79</f>
        <v>4513.0599930965536</v>
      </c>
      <c r="K79" s="83">
        <f>F79*(H79)</f>
        <v>3.9196417688786435E-2</v>
      </c>
      <c r="M79" s="63"/>
    </row>
    <row r="80" spans="1:13" x14ac:dyDescent="0.25">
      <c r="A80" s="337" t="s">
        <v>137</v>
      </c>
      <c r="B80" s="135">
        <v>22.22633168200349</v>
      </c>
      <c r="C80" s="46">
        <v>982.50387883712347</v>
      </c>
      <c r="D80" s="135">
        <v>26335.734020921809</v>
      </c>
      <c r="E80" s="135"/>
      <c r="F80" s="83">
        <f>IF(D80&lt;&gt;0,C80/D80,0)</f>
        <v>3.730687278572134E-2</v>
      </c>
      <c r="G80" s="159"/>
      <c r="H80" s="54">
        <v>1.5249384833271007</v>
      </c>
      <c r="I80" s="72"/>
      <c r="J80" s="46">
        <f>C80*H80</f>
        <v>1498.2579748568767</v>
      </c>
      <c r="K80" s="83">
        <f>F80*(H80)</f>
        <v>5.6890686003534988E-2</v>
      </c>
      <c r="M80" s="63"/>
    </row>
    <row r="81" spans="1:20" x14ac:dyDescent="0.25">
      <c r="A81" s="337" t="s">
        <v>107</v>
      </c>
      <c r="B81" s="135">
        <v>3.2983890626494206</v>
      </c>
      <c r="C81" s="46">
        <v>130.8358795924895</v>
      </c>
      <c r="D81" s="135">
        <v>2219.1460796232586</v>
      </c>
      <c r="E81" s="135"/>
      <c r="F81" s="83">
        <f>IF(D81&lt;&gt;0,C81/D81,0)</f>
        <v>5.8957758929822829E-2</v>
      </c>
      <c r="G81" s="159"/>
      <c r="H81" s="54">
        <v>1.2111795318702914</v>
      </c>
      <c r="I81" s="72"/>
      <c r="J81" s="46">
        <f>C81*H81</f>
        <v>158.46573939666925</v>
      </c>
      <c r="K81" s="83">
        <f>F81*(H81)</f>
        <v>7.1408430860744304E-2</v>
      </c>
      <c r="M81" s="63"/>
    </row>
    <row r="82" spans="1:20" x14ac:dyDescent="0.25">
      <c r="A82" s="337" t="s">
        <v>102</v>
      </c>
      <c r="B82" s="135">
        <f>SUM(B78:B81)</f>
        <v>419.22844243019773</v>
      </c>
      <c r="C82" s="46">
        <f>SUM(C78:C81)</f>
        <v>19146.980108125787</v>
      </c>
      <c r="D82" s="135">
        <f>SUM(D78:D81)</f>
        <v>546300.03778996796</v>
      </c>
      <c r="E82" s="135"/>
      <c r="F82" s="83">
        <f>IF(D82&lt;&gt;0,C82/D82,0)</f>
        <v>3.5048469309253621E-2</v>
      </c>
      <c r="G82" s="159"/>
      <c r="H82" s="54"/>
      <c r="I82" s="72"/>
      <c r="J82" s="46">
        <f>SUM(J78:J81)</f>
        <v>24719.284155446025</v>
      </c>
      <c r="K82" s="83">
        <f>SUMPRODUCT(K78:K81,D78:D81)/D82</f>
        <v>4.5248549232115687E-2</v>
      </c>
      <c r="M82" s="63"/>
    </row>
    <row r="83" spans="1:20" ht="5.0999999999999996" customHeight="1" x14ac:dyDescent="0.25">
      <c r="B83" s="57"/>
      <c r="C83" s="46"/>
      <c r="D83" s="44"/>
      <c r="E83" s="44"/>
      <c r="F83" s="45"/>
      <c r="G83" s="23"/>
      <c r="H83" s="55"/>
      <c r="I83" s="79"/>
      <c r="J83" s="46"/>
      <c r="K83" s="41"/>
    </row>
    <row r="84" spans="1:20" ht="12.75" customHeight="1" x14ac:dyDescent="0.25"/>
    <row r="85" spans="1:20" ht="15.6" x14ac:dyDescent="0.3">
      <c r="A85" s="158" t="s">
        <v>56</v>
      </c>
    </row>
    <row r="86" spans="1:20" ht="15.6" x14ac:dyDescent="0.3">
      <c r="A86" s="158" t="s">
        <v>787</v>
      </c>
    </row>
    <row r="87" spans="1:20" ht="26.4" x14ac:dyDescent="0.25">
      <c r="A87" s="4"/>
      <c r="B87" s="189" t="s">
        <v>223</v>
      </c>
      <c r="C87" s="146" t="s">
        <v>217</v>
      </c>
      <c r="D87" s="168" t="s">
        <v>222</v>
      </c>
      <c r="E87" s="168"/>
      <c r="F87" s="169" t="s">
        <v>207</v>
      </c>
      <c r="G87" s="159"/>
      <c r="H87" s="190" t="s">
        <v>246</v>
      </c>
      <c r="I87" s="159"/>
      <c r="J87" s="189" t="s">
        <v>110</v>
      </c>
      <c r="K87" s="41" t="s">
        <v>133</v>
      </c>
    </row>
    <row r="88" spans="1:20" x14ac:dyDescent="0.25">
      <c r="A88" s="25" t="s">
        <v>390</v>
      </c>
      <c r="B88" s="57"/>
      <c r="C88" s="46"/>
      <c r="D88" s="44"/>
      <c r="E88" s="44"/>
      <c r="F88" s="45"/>
      <c r="G88" s="23"/>
      <c r="H88" s="55"/>
      <c r="I88" s="79"/>
      <c r="J88" s="46"/>
      <c r="K88" s="41"/>
      <c r="N88" s="63"/>
    </row>
    <row r="89" spans="1:20" x14ac:dyDescent="0.25">
      <c r="A89" s="21" t="s">
        <v>186</v>
      </c>
      <c r="B89" s="57"/>
      <c r="C89" s="46"/>
      <c r="D89" s="44"/>
      <c r="E89" s="44"/>
      <c r="F89" s="45"/>
      <c r="G89" s="23"/>
      <c r="H89" s="55"/>
      <c r="I89" s="79"/>
      <c r="J89" s="46"/>
      <c r="K89" s="41"/>
      <c r="N89" s="63"/>
    </row>
    <row r="90" spans="1:20" x14ac:dyDescent="0.25">
      <c r="A90" s="81" t="s">
        <v>138</v>
      </c>
      <c r="B90" s="56" t="s">
        <v>106</v>
      </c>
      <c r="C90" s="46">
        <f>'Table 3.14-Route UAA'!C90*SUM($D$103,$D$109)/SUM($D$103,$D$109,'Table 3.16-Route UAA PARS'!$D$103,'Table 3.16-Route UAA PARS'!$D$109)</f>
        <v>133.4196587334803</v>
      </c>
      <c r="D90" s="40">
        <f>'Table 3.14-Route UAA'!D90*SUM($D$103,$D$109)/SUM($D$103,$D$109,'Table 3.16-Route UAA PARS'!$D$103,'Table 3.16-Route UAA PARS'!$D$109)</f>
        <v>2379.7256311760616</v>
      </c>
      <c r="E90" s="184" t="s">
        <v>239</v>
      </c>
      <c r="F90" s="83">
        <f>IF(D90&lt;&gt;0,C90/D90,0)</f>
        <v>5.6065143386947611E-2</v>
      </c>
      <c r="G90" s="285" t="s">
        <v>240</v>
      </c>
      <c r="H90" s="54">
        <v>1.302844966601308</v>
      </c>
      <c r="I90" s="72"/>
      <c r="J90" s="46">
        <f>C90*H90</f>
        <v>173.82513082657906</v>
      </c>
      <c r="K90" s="83">
        <f>F90*(H90)</f>
        <v>7.3044189863465309E-2</v>
      </c>
      <c r="P90" s="140"/>
      <c r="Q90" s="140"/>
      <c r="R90" s="140"/>
      <c r="S90" s="140"/>
      <c r="T90" s="140"/>
    </row>
    <row r="91" spans="1:20" x14ac:dyDescent="0.25">
      <c r="A91" s="81" t="s">
        <v>781</v>
      </c>
      <c r="B91" s="56" t="s">
        <v>106</v>
      </c>
      <c r="C91" s="46">
        <f>'Table 3.14-Route UAA'!C91*SUM($D$103,$D$109)/SUM($D$103,$D$109,'Table 3.16-Route UAA PARS'!$D$103,'Table 3.16-Route UAA PARS'!$D$109)</f>
        <v>514.42572911789534</v>
      </c>
      <c r="D91" s="40">
        <f>'Table 3.14-Route UAA'!D91*SUM($D$103,$D$109)/SUM($D$103,$D$109,'Table 3.16-Route UAA PARS'!$D$103,'Table 3.16-Route UAA PARS'!$D$109)</f>
        <v>2379.7256311760616</v>
      </c>
      <c r="E91" s="184" t="s">
        <v>239</v>
      </c>
      <c r="F91" s="83">
        <f>IF(D91&lt;&gt;0,C91/D91,0)</f>
        <v>0.2161701846542981</v>
      </c>
      <c r="G91" s="285" t="s">
        <v>240</v>
      </c>
      <c r="H91" s="340">
        <v>1.6624309879114112</v>
      </c>
      <c r="I91" s="72"/>
      <c r="J91" s="46">
        <f>C91*H91</f>
        <v>855.1972730645108</v>
      </c>
      <c r="K91" s="83">
        <f>F91*(H91)</f>
        <v>0.35936801363183696</v>
      </c>
      <c r="L91" s="64"/>
      <c r="M91" s="442"/>
    </row>
    <row r="92" spans="1:20" x14ac:dyDescent="0.25">
      <c r="A92" s="21" t="s">
        <v>187</v>
      </c>
      <c r="B92" s="56"/>
      <c r="C92" s="46"/>
      <c r="D92" s="40"/>
      <c r="E92" s="40"/>
      <c r="F92" s="41"/>
      <c r="G92" s="159"/>
      <c r="H92" s="54"/>
      <c r="I92" s="72"/>
      <c r="J92" s="42"/>
      <c r="K92" s="41"/>
    </row>
    <row r="93" spans="1:20" x14ac:dyDescent="0.25">
      <c r="A93" s="81" t="s">
        <v>138</v>
      </c>
      <c r="B93" s="56" t="s">
        <v>106</v>
      </c>
      <c r="C93" s="46">
        <f>'Table 3.14-Route UAA'!C93*$D$111/SUM($D$111,'Table 3.16-Route UAA PARS'!$D$111)</f>
        <v>61.032087951273432</v>
      </c>
      <c r="D93" s="40">
        <f>'Table 3.14-Route UAA'!D93*$D$111/SUM($D$111,'Table 3.16-Route UAA PARS'!$D$111)</f>
        <v>1173.7662614298617</v>
      </c>
      <c r="E93" s="184" t="s">
        <v>239</v>
      </c>
      <c r="F93" s="83">
        <f>IF(D93&lt;&gt;0,C93/D93,0)</f>
        <v>5.1996798644497758E-2</v>
      </c>
      <c r="G93" s="285" t="s">
        <v>240</v>
      </c>
      <c r="H93" s="54">
        <v>1.302844966601308</v>
      </c>
      <c r="I93" s="72"/>
      <c r="J93" s="46">
        <f>C93*H93</f>
        <v>79.515348588484926</v>
      </c>
      <c r="K93" s="83">
        <f>F93*(H93)</f>
        <v>6.7743767393365614E-2</v>
      </c>
    </row>
    <row r="94" spans="1:20" x14ac:dyDescent="0.25">
      <c r="A94" s="81" t="s">
        <v>781</v>
      </c>
      <c r="B94" s="56" t="s">
        <v>106</v>
      </c>
      <c r="C94" s="46">
        <f>'Table 3.14-Route UAA'!C94*$D$111/SUM($D$111,'Table 3.16-Route UAA PARS'!$D$111)</f>
        <v>116.67684843642907</v>
      </c>
      <c r="D94" s="40">
        <f>'Table 3.14-Route UAA'!D94*$D$111/SUM($D$111,'Table 3.16-Route UAA PARS'!$D$111)</f>
        <v>1173.7662614298617</v>
      </c>
      <c r="E94" s="184" t="s">
        <v>239</v>
      </c>
      <c r="F94" s="83">
        <f>IF(D94&lt;&gt;0,C94/D94,0)</f>
        <v>9.9403818520303486E-2</v>
      </c>
      <c r="G94" s="285" t="s">
        <v>240</v>
      </c>
      <c r="H94" s="340">
        <v>1.6624309879114112</v>
      </c>
      <c r="I94" s="79"/>
      <c r="J94" s="46">
        <f>C94*H94</f>
        <v>193.96720841256277</v>
      </c>
      <c r="K94" s="83">
        <f>F94*(H94)</f>
        <v>0.16525198822487475</v>
      </c>
      <c r="L94" s="64"/>
      <c r="M94" s="442"/>
    </row>
    <row r="95" spans="1:20" x14ac:dyDescent="0.25">
      <c r="A95" s="81"/>
      <c r="B95" s="57"/>
      <c r="C95" s="46"/>
      <c r="D95" s="44"/>
      <c r="E95" s="44"/>
      <c r="F95" s="45"/>
      <c r="G95" s="23"/>
      <c r="H95" s="55"/>
      <c r="I95" s="79"/>
      <c r="J95" s="46"/>
      <c r="K95" s="41"/>
    </row>
    <row r="96" spans="1:20" x14ac:dyDescent="0.25">
      <c r="A96" s="25" t="s">
        <v>391</v>
      </c>
      <c r="B96" s="57"/>
      <c r="C96" s="46"/>
      <c r="D96" s="44"/>
      <c r="E96" s="44"/>
      <c r="F96" s="45"/>
      <c r="G96" s="23"/>
      <c r="H96" s="55"/>
      <c r="I96" s="79"/>
      <c r="J96" s="46"/>
      <c r="K96" s="41"/>
    </row>
    <row r="97" spans="1:12" ht="5.0999999999999996" customHeight="1" x14ac:dyDescent="0.25">
      <c r="A97" s="25"/>
      <c r="B97" s="57"/>
      <c r="C97" s="46"/>
      <c r="D97" s="44"/>
      <c r="E97" s="44"/>
      <c r="F97" s="45"/>
      <c r="G97" s="23"/>
      <c r="H97" s="55"/>
      <c r="I97" s="79"/>
      <c r="J97" s="46"/>
      <c r="K97" s="41"/>
    </row>
    <row r="98" spans="1:12" x14ac:dyDescent="0.25">
      <c r="A98" s="82" t="s">
        <v>284</v>
      </c>
      <c r="B98" s="57"/>
      <c r="C98" s="46"/>
      <c r="D98" s="44"/>
      <c r="E98" s="44"/>
      <c r="F98" s="45"/>
      <c r="G98" s="23"/>
      <c r="H98" s="55"/>
      <c r="I98" s="79"/>
      <c r="J98" s="46"/>
      <c r="K98" s="41"/>
      <c r="L98" s="47"/>
    </row>
    <row r="99" spans="1:12" x14ac:dyDescent="0.25">
      <c r="A99" s="338" t="s">
        <v>280</v>
      </c>
      <c r="B99" s="56" t="s">
        <v>106</v>
      </c>
      <c r="C99" s="46" t="s">
        <v>106</v>
      </c>
      <c r="D99" s="40">
        <f>D11</f>
        <v>47349.203136856289</v>
      </c>
      <c r="E99" s="40"/>
      <c r="F99" s="56" t="s">
        <v>106</v>
      </c>
      <c r="G99" s="159"/>
      <c r="H99" s="56" t="s">
        <v>106</v>
      </c>
      <c r="I99" s="72"/>
      <c r="J99" s="46">
        <f>J11+SUM($J$90:$J$91)*D99/SUM($D$103,$D$109)</f>
        <v>5396.4710558982206</v>
      </c>
      <c r="K99" s="83">
        <f>J99/D99</f>
        <v>0.11397173972073978</v>
      </c>
    </row>
    <row r="100" spans="1:12" x14ac:dyDescent="0.25">
      <c r="A100" s="338" t="s">
        <v>287</v>
      </c>
      <c r="B100" s="56" t="s">
        <v>106</v>
      </c>
      <c r="C100" s="46" t="s">
        <v>106</v>
      </c>
      <c r="D100" s="40">
        <f>D18</f>
        <v>7949.735254780524</v>
      </c>
      <c r="E100" s="40"/>
      <c r="F100" s="56" t="s">
        <v>106</v>
      </c>
      <c r="G100" s="159"/>
      <c r="H100" s="56" t="s">
        <v>106</v>
      </c>
      <c r="I100" s="72"/>
      <c r="J100" s="46">
        <f>J18+SUM($J$90:$J$91)*D100/SUM($D$103,$D$109)</f>
        <v>726.00124934380938</v>
      </c>
      <c r="K100" s="83">
        <f>J100/D100</f>
        <v>9.1323953072177222E-2</v>
      </c>
    </row>
    <row r="101" spans="1:12" x14ac:dyDescent="0.25">
      <c r="A101" s="338" t="s">
        <v>282</v>
      </c>
      <c r="B101" s="56" t="s">
        <v>106</v>
      </c>
      <c r="C101" s="46" t="s">
        <v>106</v>
      </c>
      <c r="D101" s="40">
        <f>D25</f>
        <v>33919.580685290159</v>
      </c>
      <c r="E101" s="40"/>
      <c r="F101" s="56" t="s">
        <v>106</v>
      </c>
      <c r="G101" s="159"/>
      <c r="H101" s="56" t="s">
        <v>106</v>
      </c>
      <c r="I101" s="72"/>
      <c r="J101" s="46">
        <f>J25+SUM($J$90:$J$91)*D101/SUM($D$103,$D$109)</f>
        <v>4518.0530849843699</v>
      </c>
      <c r="K101" s="83">
        <f>J101/D101</f>
        <v>0.1331989663110342</v>
      </c>
    </row>
    <row r="102" spans="1:12" x14ac:dyDescent="0.25">
      <c r="A102" s="338" t="s">
        <v>276</v>
      </c>
      <c r="B102" s="56" t="s">
        <v>106</v>
      </c>
      <c r="C102" s="46" t="s">
        <v>106</v>
      </c>
      <c r="D102" s="40">
        <f>D32</f>
        <v>39729.481069780326</v>
      </c>
      <c r="E102" s="40"/>
      <c r="F102" s="56" t="s">
        <v>106</v>
      </c>
      <c r="G102" s="159"/>
      <c r="H102" s="56" t="s">
        <v>106</v>
      </c>
      <c r="I102" s="72"/>
      <c r="J102" s="46">
        <f>J32+SUM($J$90:$J$91)*D102/SUM($D$103,$D$109)</f>
        <v>3961.591775186449</v>
      </c>
      <c r="K102" s="83">
        <f>J102/D102</f>
        <v>9.9714158567245373E-2</v>
      </c>
    </row>
    <row r="103" spans="1:12" x14ac:dyDescent="0.25">
      <c r="A103" s="338" t="s">
        <v>281</v>
      </c>
      <c r="B103" s="56"/>
      <c r="C103" s="46"/>
      <c r="D103" s="40">
        <f>SUM(D99:D102)</f>
        <v>128948.00014670729</v>
      </c>
      <c r="E103" s="40"/>
      <c r="F103" s="56"/>
      <c r="G103" s="159"/>
      <c r="H103" s="56"/>
      <c r="I103" s="72"/>
      <c r="J103" s="46">
        <f>SUM(J99:J102)</f>
        <v>14602.11716541285</v>
      </c>
      <c r="K103" s="83">
        <f>J103/D103</f>
        <v>0.11324035385426424</v>
      </c>
    </row>
    <row r="104" spans="1:12" ht="5.0999999999999996" customHeight="1" x14ac:dyDescent="0.25">
      <c r="A104" s="21"/>
      <c r="B104" s="56"/>
      <c r="C104" s="46"/>
      <c r="D104" s="40"/>
      <c r="E104" s="40"/>
      <c r="F104" s="56"/>
      <c r="G104" s="159"/>
      <c r="H104" s="56"/>
      <c r="I104" s="72"/>
      <c r="J104" s="46"/>
      <c r="K104" s="83"/>
    </row>
    <row r="105" spans="1:12" x14ac:dyDescent="0.25">
      <c r="A105" s="82" t="s">
        <v>392</v>
      </c>
    </row>
    <row r="106" spans="1:12" x14ac:dyDescent="0.25">
      <c r="A106" s="338" t="s">
        <v>386</v>
      </c>
      <c r="B106" s="56" t="s">
        <v>106</v>
      </c>
      <c r="C106" s="46" t="s">
        <v>106</v>
      </c>
      <c r="D106" s="40">
        <f>D52</f>
        <v>28050.035862434797</v>
      </c>
      <c r="E106" s="40"/>
      <c r="F106" s="56" t="s">
        <v>106</v>
      </c>
      <c r="G106" s="159"/>
      <c r="H106" s="56" t="s">
        <v>106</v>
      </c>
      <c r="I106" s="72"/>
      <c r="J106" s="46">
        <f>J52+SUM($J$90:$J$91)*D106/SUM($D$103,$D$109)</f>
        <v>2350.0725254108893</v>
      </c>
      <c r="K106" s="83">
        <f>J106/D106</f>
        <v>8.3781444591953483E-2</v>
      </c>
    </row>
    <row r="107" spans="1:12" x14ac:dyDescent="0.25">
      <c r="A107" s="338" t="s">
        <v>393</v>
      </c>
      <c r="B107" s="56" t="s">
        <v>106</v>
      </c>
      <c r="C107" s="46" t="s">
        <v>106</v>
      </c>
      <c r="D107" s="40">
        <f>D60</f>
        <v>28535.367679488798</v>
      </c>
      <c r="E107" s="40"/>
      <c r="F107" s="56" t="s">
        <v>106</v>
      </c>
      <c r="G107" s="159"/>
      <c r="H107" s="56" t="s">
        <v>106</v>
      </c>
      <c r="I107" s="72"/>
      <c r="J107" s="46">
        <f>J60+SUM($J$90:$J$91)*D107/SUM($D$103,$D$109)</f>
        <v>1993.194678748433</v>
      </c>
      <c r="K107" s="83">
        <f>J107/D107</f>
        <v>6.984997358843005E-2</v>
      </c>
    </row>
    <row r="108" spans="1:12" x14ac:dyDescent="0.25">
      <c r="A108" s="338" t="s">
        <v>388</v>
      </c>
      <c r="B108" s="56" t="s">
        <v>106</v>
      </c>
      <c r="C108" s="46" t="s">
        <v>106</v>
      </c>
      <c r="D108" s="40">
        <f>D67</f>
        <v>45698.059247861893</v>
      </c>
      <c r="E108" s="40"/>
      <c r="F108" s="56" t="s">
        <v>106</v>
      </c>
      <c r="G108" s="159"/>
      <c r="H108" s="56" t="s">
        <v>106</v>
      </c>
      <c r="I108" s="72"/>
      <c r="J108" s="46">
        <f>J67+SUM($J$90:$J$91)*D108/SUM($D$103,$D$109)</f>
        <v>4325.4961036828727</v>
      </c>
      <c r="K108" s="83">
        <f>J108/D108</f>
        <v>9.4653825017421339E-2</v>
      </c>
    </row>
    <row r="109" spans="1:12" x14ac:dyDescent="0.25">
      <c r="A109" s="338" t="s">
        <v>394</v>
      </c>
      <c r="B109" s="56"/>
      <c r="C109" s="46"/>
      <c r="D109" s="40">
        <f>SUM(D106:D108)</f>
        <v>102283.4627897855</v>
      </c>
      <c r="E109" s="40"/>
      <c r="F109" s="56"/>
      <c r="G109" s="159"/>
      <c r="H109" s="56"/>
      <c r="I109" s="72"/>
      <c r="J109" s="46">
        <f>SUM(J106:J108)</f>
        <v>8668.763307842195</v>
      </c>
      <c r="K109" s="83">
        <f>J109/D109</f>
        <v>8.4752344820964526E-2</v>
      </c>
    </row>
    <row r="110" spans="1:12" ht="5.0999999999999996" customHeight="1" x14ac:dyDescent="0.25">
      <c r="A110" s="21"/>
      <c r="B110" s="56"/>
      <c r="C110" s="46"/>
      <c r="D110" s="40"/>
      <c r="E110" s="40"/>
      <c r="F110" s="56"/>
      <c r="G110" s="159"/>
      <c r="H110" s="56"/>
      <c r="I110" s="72"/>
      <c r="J110" s="46"/>
      <c r="K110" s="83"/>
    </row>
    <row r="111" spans="1:12" x14ac:dyDescent="0.25">
      <c r="A111" s="82" t="s">
        <v>286</v>
      </c>
      <c r="B111" s="56" t="s">
        <v>106</v>
      </c>
      <c r="C111" s="46" t="s">
        <v>106</v>
      </c>
      <c r="D111" s="40">
        <f>D82</f>
        <v>546300.03778996796</v>
      </c>
      <c r="E111" s="40"/>
      <c r="F111" s="56"/>
      <c r="G111" s="159"/>
      <c r="H111" s="56"/>
      <c r="I111" s="72"/>
      <c r="J111" s="46">
        <f>SUM(J93:J94)+J82</f>
        <v>24992.766712447072</v>
      </c>
      <c r="K111" s="83">
        <f>J111/D111</f>
        <v>4.5749157941768002E-2</v>
      </c>
    </row>
    <row r="112" spans="1:12" hidden="1" x14ac:dyDescent="0.25">
      <c r="A112" s="341"/>
      <c r="B112" s="56"/>
      <c r="C112" s="46"/>
      <c r="D112" s="40"/>
      <c r="E112" s="40"/>
      <c r="F112" s="56"/>
      <c r="G112" s="159"/>
      <c r="H112" s="56"/>
      <c r="I112" s="72"/>
      <c r="J112" s="46"/>
      <c r="K112" s="83"/>
    </row>
    <row r="113" spans="1:11" hidden="1" x14ac:dyDescent="0.25">
      <c r="B113" s="69"/>
      <c r="C113" s="70"/>
      <c r="D113" s="37"/>
      <c r="E113" s="37"/>
      <c r="F113" s="38"/>
      <c r="G113" s="2"/>
      <c r="H113" s="4"/>
      <c r="I113" s="2"/>
      <c r="J113" s="2"/>
      <c r="K113" s="71"/>
    </row>
    <row r="114" spans="1:11" hidden="1" x14ac:dyDescent="0.25">
      <c r="A114" s="127" t="s">
        <v>191</v>
      </c>
      <c r="B114" s="339">
        <v>0</v>
      </c>
      <c r="C114" s="339">
        <v>0</v>
      </c>
      <c r="D114" s="339">
        <v>0</v>
      </c>
      <c r="E114" s="128"/>
      <c r="H114" s="126"/>
      <c r="I114" s="127"/>
      <c r="J114" s="339">
        <f>SUM(J103,J109)-J39-J74-SUM(J90:J91)</f>
        <v>2.9558577807620168E-12</v>
      </c>
    </row>
    <row r="115" spans="1:11" hidden="1" x14ac:dyDescent="0.25">
      <c r="A115" s="127"/>
      <c r="B115" s="339">
        <v>0</v>
      </c>
      <c r="C115" s="339">
        <v>0</v>
      </c>
      <c r="D115" s="339">
        <v>0</v>
      </c>
      <c r="E115" s="128"/>
      <c r="H115" s="126"/>
      <c r="I115" s="127"/>
      <c r="J115" s="339">
        <f>J111-J82-J93-J94</f>
        <v>-5.9685589803848416E-13</v>
      </c>
    </row>
    <row r="116" spans="1:11" hidden="1" x14ac:dyDescent="0.25">
      <c r="B116" s="339">
        <v>0</v>
      </c>
      <c r="C116" s="339">
        <v>0</v>
      </c>
      <c r="D116" s="339">
        <v>0</v>
      </c>
      <c r="H116" s="127"/>
      <c r="I116" s="127"/>
      <c r="J116" s="339">
        <v>0</v>
      </c>
    </row>
    <row r="117" spans="1:11" hidden="1" x14ac:dyDescent="0.25">
      <c r="B117" s="339">
        <v>0</v>
      </c>
      <c r="C117" s="339">
        <v>0</v>
      </c>
      <c r="D117" s="339">
        <v>0</v>
      </c>
      <c r="H117" s="342"/>
      <c r="I117" s="342"/>
      <c r="J117" s="339">
        <v>0</v>
      </c>
    </row>
    <row r="118" spans="1:11" hidden="1" x14ac:dyDescent="0.25">
      <c r="B118" s="339"/>
      <c r="C118" s="339"/>
      <c r="D118" s="339">
        <v>0</v>
      </c>
      <c r="H118" s="342"/>
      <c r="I118" s="342"/>
      <c r="J118" s="339">
        <v>0</v>
      </c>
    </row>
    <row r="119" spans="1:11" x14ac:dyDescent="0.25">
      <c r="A119" s="141"/>
      <c r="B119" s="290"/>
      <c r="C119" s="291"/>
      <c r="D119" s="282"/>
      <c r="E119" s="37"/>
    </row>
    <row r="120" spans="1:11" x14ac:dyDescent="0.25">
      <c r="A120" s="11" t="s">
        <v>235</v>
      </c>
    </row>
    <row r="121" spans="1:11" x14ac:dyDescent="0.25">
      <c r="A121" s="25" t="s">
        <v>796</v>
      </c>
    </row>
    <row r="122" spans="1:11" x14ac:dyDescent="0.25">
      <c r="A122" s="25" t="s">
        <v>795</v>
      </c>
    </row>
    <row r="123" spans="1:11" x14ac:dyDescent="0.25">
      <c r="A123" s="25" t="s">
        <v>797</v>
      </c>
    </row>
    <row r="124" spans="1:11" x14ac:dyDescent="0.25">
      <c r="A124" s="145" t="s">
        <v>91</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7"/>
  <dimension ref="A1:X126"/>
  <sheetViews>
    <sheetView zoomScale="70" zoomScaleNormal="70" workbookViewId="0"/>
  </sheetViews>
  <sheetFormatPr defaultColWidth="9.109375" defaultRowHeight="13.2" x14ac:dyDescent="0.25"/>
  <cols>
    <col min="1" max="1" width="43.33203125" style="11" customWidth="1"/>
    <col min="2" max="2" width="11.6640625" style="62" customWidth="1"/>
    <col min="3" max="3" width="11.6640625" style="52" customWidth="1"/>
    <col min="4" max="4" width="11.6640625" style="53" customWidth="1"/>
    <col min="5" max="5" width="2.6640625" style="53" customWidth="1"/>
    <col min="6" max="6" width="11.6640625" style="64" customWidth="1"/>
    <col min="7" max="7" width="2.6640625" style="24" customWidth="1"/>
    <col min="8" max="8" width="11.6640625" style="11" customWidth="1"/>
    <col min="9" max="9" width="2.33203125" style="24" customWidth="1"/>
    <col min="10" max="10" width="11.6640625" style="24" customWidth="1"/>
    <col min="11" max="11" width="11.6640625" style="64" customWidth="1"/>
    <col min="12" max="12" width="9.109375" style="11"/>
    <col min="13" max="13" width="11.33203125" style="11" bestFit="1" customWidth="1"/>
    <col min="14" max="14" width="11.109375" style="11" bestFit="1" customWidth="1"/>
    <col min="15" max="16384" width="9.109375" style="11"/>
  </cols>
  <sheetData>
    <row r="1" spans="1:12" ht="15.75" customHeight="1" x14ac:dyDescent="0.3">
      <c r="A1" s="158" t="s">
        <v>57</v>
      </c>
    </row>
    <row r="2" spans="1:12" ht="15.75" customHeight="1" x14ac:dyDescent="0.3">
      <c r="A2" s="158" t="s">
        <v>787</v>
      </c>
    </row>
    <row r="3" spans="1:12" s="4" customFormat="1" ht="26.4" x14ac:dyDescent="0.25">
      <c r="B3" s="189" t="s">
        <v>248</v>
      </c>
      <c r="C3" s="146" t="s">
        <v>249</v>
      </c>
      <c r="D3" s="168" t="s">
        <v>250</v>
      </c>
      <c r="E3" s="168"/>
      <c r="F3" s="169" t="s">
        <v>207</v>
      </c>
      <c r="G3" s="159"/>
      <c r="H3" s="190" t="s">
        <v>246</v>
      </c>
      <c r="I3" s="159"/>
      <c r="J3" s="189" t="s">
        <v>110</v>
      </c>
      <c r="K3" s="41" t="s">
        <v>133</v>
      </c>
    </row>
    <row r="4" spans="1:12" x14ac:dyDescent="0.25">
      <c r="A4" s="15" t="s">
        <v>283</v>
      </c>
      <c r="B4" s="65"/>
      <c r="C4" s="39"/>
      <c r="D4" s="37"/>
      <c r="E4" s="37"/>
      <c r="F4" s="38"/>
      <c r="G4" s="2"/>
      <c r="H4" s="66"/>
      <c r="I4" s="2"/>
      <c r="J4" s="2"/>
      <c r="K4" s="38"/>
    </row>
    <row r="5" spans="1:12" ht="5.0999999999999996" customHeight="1" x14ac:dyDescent="0.25">
      <c r="A5" s="49"/>
      <c r="B5" s="65"/>
      <c r="C5" s="39"/>
      <c r="D5" s="37"/>
      <c r="E5" s="37"/>
      <c r="F5" s="38"/>
      <c r="G5" s="2"/>
      <c r="H5" s="66"/>
      <c r="I5" s="2"/>
      <c r="J5" s="2"/>
      <c r="K5" s="38"/>
    </row>
    <row r="6" spans="1:12" x14ac:dyDescent="0.25">
      <c r="A6" s="82" t="s">
        <v>275</v>
      </c>
      <c r="B6" s="57"/>
      <c r="C6" s="67"/>
      <c r="D6" s="40"/>
      <c r="E6" s="40"/>
      <c r="F6" s="41"/>
      <c r="G6" s="43"/>
      <c r="H6" s="54"/>
      <c r="I6" s="68"/>
      <c r="J6" s="68"/>
      <c r="K6" s="41"/>
    </row>
    <row r="7" spans="1:12" x14ac:dyDescent="0.25">
      <c r="A7" s="337" t="s">
        <v>135</v>
      </c>
      <c r="B7" s="135">
        <v>783.84211535546478</v>
      </c>
      <c r="C7" s="46">
        <v>32693.123635180364</v>
      </c>
      <c r="D7" s="135">
        <v>542818.56350919884</v>
      </c>
      <c r="E7" s="135"/>
      <c r="F7" s="83">
        <f>IF(D7&lt;&gt;0,C7/D7,0)</f>
        <v>6.0228455386320504E-2</v>
      </c>
      <c r="G7" s="159"/>
      <c r="H7" s="54">
        <v>1.2964905110516152</v>
      </c>
      <c r="I7" s="72"/>
      <c r="J7" s="46">
        <f>C7*H7</f>
        <v>42386.324569648626</v>
      </c>
      <c r="K7" s="83">
        <f>F7*(H7)</f>
        <v>7.8085620903660072E-2</v>
      </c>
    </row>
    <row r="8" spans="1:12" ht="12.75" customHeight="1" x14ac:dyDescent="0.25">
      <c r="A8" s="338" t="s">
        <v>136</v>
      </c>
      <c r="B8" s="135">
        <v>292.64490423539394</v>
      </c>
      <c r="C8" s="46">
        <v>6661.1439925097975</v>
      </c>
      <c r="D8" s="135">
        <v>208555.6141182475</v>
      </c>
      <c r="E8" s="135"/>
      <c r="F8" s="83">
        <f>IF(D8&lt;&gt;0,C8/D8,0)</f>
        <v>3.1939413478138459E-2</v>
      </c>
      <c r="G8" s="159"/>
      <c r="H8" s="54">
        <v>1.2111795318702914</v>
      </c>
      <c r="I8" s="72"/>
      <c r="J8" s="46">
        <f>C8*H8</f>
        <v>8067.8412625686206</v>
      </c>
      <c r="K8" s="83">
        <f>F8*(H8)</f>
        <v>3.8684363864663417E-2</v>
      </c>
    </row>
    <row r="9" spans="1:12" x14ac:dyDescent="0.25">
      <c r="A9" s="337" t="s">
        <v>137</v>
      </c>
      <c r="B9" s="135">
        <v>208.91921790817844</v>
      </c>
      <c r="C9" s="46">
        <v>6059.2609205235594</v>
      </c>
      <c r="D9" s="135">
        <v>147008.37302204478</v>
      </c>
      <c r="E9" s="135"/>
      <c r="F9" s="83">
        <f>IF(D9&lt;&gt;0,C9/D9,0)</f>
        <v>4.1217114345010387E-2</v>
      </c>
      <c r="G9" s="159"/>
      <c r="H9" s="54">
        <v>1.5249384833271007</v>
      </c>
      <c r="I9" s="48"/>
      <c r="J9" s="46">
        <f>C9*H9</f>
        <v>9240.0001582263685</v>
      </c>
      <c r="K9" s="83">
        <f>F9*(H9)</f>
        <v>6.2853563836399826E-2</v>
      </c>
    </row>
    <row r="10" spans="1:12" x14ac:dyDescent="0.25">
      <c r="A10" s="337" t="s">
        <v>107</v>
      </c>
      <c r="B10" s="135">
        <v>5.4161487219793694</v>
      </c>
      <c r="C10" s="46">
        <v>214.84020489526685</v>
      </c>
      <c r="D10" s="135">
        <v>3736.668123272189</v>
      </c>
      <c r="E10" s="135"/>
      <c r="F10" s="83">
        <f>IF(D10&lt;&gt;0,C10/D10,0)</f>
        <v>5.7495126087657993E-2</v>
      </c>
      <c r="G10" s="159"/>
      <c r="H10" s="54">
        <v>1.2111795318702914</v>
      </c>
      <c r="I10" s="72"/>
      <c r="J10" s="46">
        <f>C10*H10</f>
        <v>260.21005879196679</v>
      </c>
      <c r="K10" s="83">
        <f>F10*(H10)</f>
        <v>6.963691989967298E-2</v>
      </c>
    </row>
    <row r="11" spans="1:12" x14ac:dyDescent="0.25">
      <c r="A11" s="337" t="s">
        <v>277</v>
      </c>
      <c r="B11" s="135">
        <f>SUM(B7:B10)</f>
        <v>1290.8223862210166</v>
      </c>
      <c r="C11" s="46">
        <f>SUM(C7:C10)</f>
        <v>45628.368753108989</v>
      </c>
      <c r="D11" s="135">
        <f>SUM(D7:D10)</f>
        <v>902119.21877276327</v>
      </c>
      <c r="E11" s="135"/>
      <c r="F11" s="83">
        <f>IF(D11&lt;&gt;0,C11/D11,0)</f>
        <v>5.0579089552245104E-2</v>
      </c>
      <c r="G11" s="159"/>
      <c r="H11" s="54"/>
      <c r="I11" s="72"/>
      <c r="J11" s="46">
        <f>SUM(J7:J10)</f>
        <v>59954.37604923558</v>
      </c>
      <c r="K11" s="83">
        <f>SUMPRODUCT(K7:K10,D7:D10)/D11</f>
        <v>6.645948207466093E-2</v>
      </c>
      <c r="L11" s="84"/>
    </row>
    <row r="12" spans="1:12" ht="5.0999999999999996" customHeight="1" x14ac:dyDescent="0.25">
      <c r="A12" s="21"/>
      <c r="B12" s="135"/>
      <c r="C12" s="46"/>
      <c r="D12" s="135"/>
      <c r="E12" s="135"/>
      <c r="F12" s="83"/>
      <c r="G12" s="159"/>
      <c r="H12" s="54"/>
      <c r="I12" s="72"/>
      <c r="J12" s="46"/>
      <c r="K12" s="83"/>
      <c r="L12" s="84"/>
    </row>
    <row r="13" spans="1:12" x14ac:dyDescent="0.25">
      <c r="A13" s="89" t="s">
        <v>383</v>
      </c>
      <c r="B13" s="135"/>
      <c r="C13" s="46"/>
      <c r="D13" s="135"/>
      <c r="E13" s="135"/>
      <c r="F13" s="83"/>
      <c r="G13" s="159"/>
      <c r="H13" s="54"/>
      <c r="I13" s="72"/>
      <c r="J13" s="46"/>
      <c r="K13" s="83"/>
      <c r="L13" s="84"/>
    </row>
    <row r="14" spans="1:12" x14ac:dyDescent="0.25">
      <c r="A14" s="337" t="s">
        <v>135</v>
      </c>
      <c r="B14" s="135">
        <v>74.697979085601503</v>
      </c>
      <c r="C14" s="46">
        <v>3105.5234546313827</v>
      </c>
      <c r="D14" s="135">
        <v>50768.072741258176</v>
      </c>
      <c r="E14" s="135"/>
      <c r="F14" s="83">
        <f>IF(D14&lt;&gt;0,C14/D14,0)</f>
        <v>6.1170796663068662E-2</v>
      </c>
      <c r="G14" s="159"/>
      <c r="H14" s="54">
        <v>1.2964905110516152</v>
      </c>
      <c r="I14" s="72"/>
      <c r="J14" s="46">
        <f>C14*H14</f>
        <v>4026.2816907778188</v>
      </c>
      <c r="K14" s="83">
        <f>F14*(H14)</f>
        <v>7.9307357427136321E-2</v>
      </c>
      <c r="L14" s="84"/>
    </row>
    <row r="15" spans="1:12" x14ac:dyDescent="0.25">
      <c r="A15" s="338" t="s">
        <v>136</v>
      </c>
      <c r="B15" s="135">
        <v>40.167523232046165</v>
      </c>
      <c r="C15" s="46">
        <v>909.70542185974944</v>
      </c>
      <c r="D15" s="135">
        <v>27712.072056457408</v>
      </c>
      <c r="E15" s="135"/>
      <c r="F15" s="83">
        <f>IF(D15&lt;&gt;0,C15/D15,0)</f>
        <v>3.28270444738459E-2</v>
      </c>
      <c r="G15" s="159"/>
      <c r="H15" s="54">
        <v>1.2111795318702914</v>
      </c>
      <c r="I15" s="72"/>
      <c r="J15" s="46">
        <f>C15*H15</f>
        <v>1101.8165869879572</v>
      </c>
      <c r="K15" s="83">
        <f>F15*(H15)</f>
        <v>3.9759444358517915E-2</v>
      </c>
      <c r="L15" s="84"/>
    </row>
    <row r="16" spans="1:12" x14ac:dyDescent="0.25">
      <c r="A16" s="337" t="s">
        <v>137</v>
      </c>
      <c r="B16" s="135">
        <v>14.105133175034306</v>
      </c>
      <c r="C16" s="46">
        <v>407.86522108345918</v>
      </c>
      <c r="D16" s="135">
        <v>9731.3061762450779</v>
      </c>
      <c r="E16" s="135"/>
      <c r="F16" s="83">
        <f>IF(D16&lt;&gt;0,C16/D16,0)</f>
        <v>4.1912690207928288E-2</v>
      </c>
      <c r="G16" s="159"/>
      <c r="H16" s="54">
        <v>1.5249384833271007</v>
      </c>
      <c r="I16" s="72"/>
      <c r="J16" s="46">
        <f>C16*H16</f>
        <v>621.96937164088285</v>
      </c>
      <c r="K16" s="83">
        <f>F16*(H16)</f>
        <v>6.3914274237836785E-2</v>
      </c>
      <c r="L16" s="84"/>
    </row>
    <row r="17" spans="1:13" ht="12.75" customHeight="1" x14ac:dyDescent="0.25">
      <c r="A17" s="337" t="s">
        <v>107</v>
      </c>
      <c r="B17" s="135">
        <v>0.77297602958036937</v>
      </c>
      <c r="C17" s="46">
        <v>30.66133097495268</v>
      </c>
      <c r="D17" s="135">
        <v>533.28574196369141</v>
      </c>
      <c r="E17" s="135"/>
      <c r="F17" s="83">
        <f>IF(D17&lt;&gt;0,C17/D17,0)</f>
        <v>5.7495126087657986E-2</v>
      </c>
      <c r="G17" s="159"/>
      <c r="H17" s="54">
        <v>1.2111795318702914</v>
      </c>
      <c r="I17" s="72"/>
      <c r="J17" s="46">
        <f>C17*H17</f>
        <v>37.136376496763255</v>
      </c>
      <c r="K17" s="83">
        <f>F17*(H17)</f>
        <v>6.963691989967298E-2</v>
      </c>
      <c r="L17" s="84"/>
    </row>
    <row r="18" spans="1:13" x14ac:dyDescent="0.25">
      <c r="A18" s="337" t="s">
        <v>277</v>
      </c>
      <c r="B18" s="135">
        <f>SUM(B14:B17)</f>
        <v>129.74361152226234</v>
      </c>
      <c r="C18" s="46">
        <f>SUM(C14:C17)</f>
        <v>4453.7554285495444</v>
      </c>
      <c r="D18" s="135">
        <f>SUM(D14:D17)</f>
        <v>88744.736715924359</v>
      </c>
      <c r="E18" s="135"/>
      <c r="F18" s="83">
        <f>IF(D18&lt;&gt;0,C18/D18,0)</f>
        <v>5.0186136027494263E-2</v>
      </c>
      <c r="G18" s="159"/>
      <c r="H18" s="54"/>
      <c r="I18" s="72"/>
      <c r="J18" s="46">
        <f>SUM(J14:J17)</f>
        <v>5787.204025903422</v>
      </c>
      <c r="K18" s="83">
        <f>SUMPRODUCT(K14:K17,D14:D17)/D18</f>
        <v>6.5211800046559451E-2</v>
      </c>
      <c r="L18" s="84"/>
    </row>
    <row r="19" spans="1:13" ht="5.0999999999999996" customHeight="1" x14ac:dyDescent="0.25">
      <c r="A19" s="81"/>
      <c r="B19" s="135"/>
      <c r="C19" s="135"/>
      <c r="D19" s="135"/>
      <c r="E19" s="135"/>
      <c r="F19" s="83"/>
      <c r="G19" s="159"/>
      <c r="H19" s="54"/>
      <c r="I19" s="72"/>
      <c r="J19" s="46"/>
      <c r="K19" s="83"/>
      <c r="L19" s="84"/>
    </row>
    <row r="20" spans="1:13" ht="12.75" customHeight="1" x14ac:dyDescent="0.25">
      <c r="A20" s="89" t="s">
        <v>384</v>
      </c>
      <c r="B20" s="135"/>
      <c r="C20" s="135"/>
      <c r="D20" s="135"/>
      <c r="E20" s="135"/>
      <c r="F20" s="83"/>
      <c r="G20" s="159"/>
      <c r="H20" s="54"/>
      <c r="I20" s="72"/>
      <c r="J20" s="46"/>
      <c r="K20" s="83"/>
      <c r="L20" s="84"/>
    </row>
    <row r="21" spans="1:13" ht="12.75" customHeight="1" x14ac:dyDescent="0.25">
      <c r="A21" s="337" t="s">
        <v>135</v>
      </c>
      <c r="B21" s="135">
        <v>235.31046270917375</v>
      </c>
      <c r="C21" s="46">
        <v>9782.890648568582</v>
      </c>
      <c r="D21" s="135">
        <v>157999.0089009708</v>
      </c>
      <c r="E21" s="135"/>
      <c r="F21" s="83">
        <f>IF(D21&lt;&gt;0,C21/D21,0)</f>
        <v>6.1917417815577656E-2</v>
      </c>
      <c r="G21" s="159"/>
      <c r="H21" s="54">
        <v>1.2964905110516152</v>
      </c>
      <c r="I21" s="72"/>
      <c r="J21" s="46">
        <f>C21*H21</f>
        <v>12683.424896524748</v>
      </c>
      <c r="K21" s="83">
        <f>F21*(H21)</f>
        <v>8.0275344666714654E-2</v>
      </c>
      <c r="L21" s="84"/>
    </row>
    <row r="22" spans="1:13" ht="12.75" customHeight="1" x14ac:dyDescent="0.25">
      <c r="A22" s="338" t="s">
        <v>136</v>
      </c>
      <c r="B22" s="135">
        <v>112.01516456324794</v>
      </c>
      <c r="C22" s="46">
        <v>2536.8953406716637</v>
      </c>
      <c r="D22" s="135">
        <v>77280.650187465697</v>
      </c>
      <c r="E22" s="135"/>
      <c r="F22" s="83">
        <f>IF(D22&lt;&gt;0,C22/D22,0)</f>
        <v>3.28270444738459E-2</v>
      </c>
      <c r="G22" s="159"/>
      <c r="H22" s="54">
        <v>1.2111795318702914</v>
      </c>
      <c r="I22" s="72"/>
      <c r="J22" s="46">
        <f>C22*H22</f>
        <v>3072.6357111186289</v>
      </c>
      <c r="K22" s="83">
        <f>F22*(H22)</f>
        <v>3.9759444358517915E-2</v>
      </c>
      <c r="L22" s="84"/>
    </row>
    <row r="23" spans="1:13" ht="12.75" customHeight="1" x14ac:dyDescent="0.25">
      <c r="A23" s="337" t="s">
        <v>137</v>
      </c>
      <c r="B23" s="135">
        <v>48.992718347699423</v>
      </c>
      <c r="C23" s="46">
        <v>1416.6775777581749</v>
      </c>
      <c r="D23" s="135">
        <v>33800.683533556461</v>
      </c>
      <c r="E23" s="135"/>
      <c r="F23" s="83">
        <f>IF(D23&lt;&gt;0,C23/D23,0)</f>
        <v>4.1912690207928295E-2</v>
      </c>
      <c r="G23" s="159"/>
      <c r="H23" s="54">
        <v>1.5249384833271007</v>
      </c>
      <c r="I23" s="72"/>
      <c r="J23" s="46">
        <f>C23*H23</f>
        <v>2160.3461567900622</v>
      </c>
      <c r="K23" s="83">
        <f>F23*(H23)</f>
        <v>6.3914274237836799E-2</v>
      </c>
      <c r="L23" s="84"/>
    </row>
    <row r="24" spans="1:13" ht="12.75" customHeight="1" x14ac:dyDescent="0.25">
      <c r="A24" s="337" t="s">
        <v>107</v>
      </c>
      <c r="B24" s="135">
        <v>1.6560429985860781</v>
      </c>
      <c r="C24" s="46">
        <v>65.689595207714532</v>
      </c>
      <c r="D24" s="135">
        <v>1142.5245873461188</v>
      </c>
      <c r="E24" s="135"/>
      <c r="F24" s="83">
        <f>IF(D24&lt;&gt;0,C24/D24,0)</f>
        <v>5.7495126087658006E-2</v>
      </c>
      <c r="G24" s="159"/>
      <c r="H24" s="54">
        <v>1.2111795318702914</v>
      </c>
      <c r="I24" s="72"/>
      <c r="J24" s="46">
        <f>C24*H24</f>
        <v>79.561893172428626</v>
      </c>
      <c r="K24" s="83">
        <f>F24*(H24)</f>
        <v>6.9636919899672994E-2</v>
      </c>
      <c r="L24" s="84"/>
    </row>
    <row r="25" spans="1:13" ht="12.75" customHeight="1" x14ac:dyDescent="0.25">
      <c r="A25" s="337" t="s">
        <v>277</v>
      </c>
      <c r="B25" s="135">
        <f>SUM(B21:B24)</f>
        <v>397.97438861870722</v>
      </c>
      <c r="C25" s="46">
        <f>SUM(C21:C24)</f>
        <v>13802.153162206134</v>
      </c>
      <c r="D25" s="135">
        <f>SUM(D21:D24)</f>
        <v>270222.86720933911</v>
      </c>
      <c r="E25" s="135"/>
      <c r="F25" s="83">
        <f>IF(D25&lt;&gt;0,C25/D25,0)</f>
        <v>5.1076925149764384E-2</v>
      </c>
      <c r="G25" s="159"/>
      <c r="H25" s="54"/>
      <c r="I25" s="72"/>
      <c r="J25" s="46">
        <f>SUM(J21:J24)</f>
        <v>17995.968657605867</v>
      </c>
      <c r="K25" s="83">
        <f>SUMPRODUCT(K21:K24,D21:D24)/D25</f>
        <v>6.6596764527942637E-2</v>
      </c>
      <c r="L25" s="84"/>
    </row>
    <row r="26" spans="1:13" ht="5.0999999999999996" customHeight="1" x14ac:dyDescent="0.25">
      <c r="A26" s="81"/>
      <c r="B26" s="135"/>
      <c r="C26" s="135"/>
      <c r="D26" s="135"/>
      <c r="E26" s="135"/>
      <c r="F26" s="83"/>
      <c r="G26" s="159"/>
      <c r="H26" s="54"/>
      <c r="I26" s="72"/>
      <c r="J26" s="46"/>
      <c r="K26" s="83"/>
      <c r="L26" s="84"/>
    </row>
    <row r="27" spans="1:13" ht="12.75" customHeight="1" x14ac:dyDescent="0.25">
      <c r="A27" s="21" t="s">
        <v>276</v>
      </c>
      <c r="B27" s="135"/>
      <c r="C27" s="135"/>
      <c r="D27" s="135"/>
      <c r="E27" s="135"/>
      <c r="F27" s="83"/>
      <c r="G27" s="159"/>
      <c r="H27" s="54"/>
      <c r="I27" s="72"/>
      <c r="J27" s="46"/>
      <c r="K27" s="83"/>
      <c r="L27" s="84"/>
    </row>
    <row r="28" spans="1:13" ht="12.75" customHeight="1" x14ac:dyDescent="0.25">
      <c r="A28" s="337" t="s">
        <v>135</v>
      </c>
      <c r="B28" s="135">
        <v>0</v>
      </c>
      <c r="C28" s="46">
        <v>0</v>
      </c>
      <c r="D28" s="135">
        <v>0</v>
      </c>
      <c r="E28" s="135"/>
      <c r="F28" s="83">
        <f>IF(D28&lt;&gt;0,C28/D28,0)</f>
        <v>0</v>
      </c>
      <c r="G28" s="159"/>
      <c r="H28" s="54">
        <v>1.2964905110516152</v>
      </c>
      <c r="I28" s="72"/>
      <c r="J28" s="46">
        <f>C28*H28</f>
        <v>0</v>
      </c>
      <c r="K28" s="83">
        <f>F28*(H28)</f>
        <v>0</v>
      </c>
      <c r="L28" s="84"/>
    </row>
    <row r="29" spans="1:13" ht="12.75" customHeight="1" x14ac:dyDescent="0.25">
      <c r="A29" s="338" t="s">
        <v>136</v>
      </c>
      <c r="B29" s="135">
        <v>0</v>
      </c>
      <c r="C29" s="46">
        <v>0</v>
      </c>
      <c r="D29" s="135">
        <v>0</v>
      </c>
      <c r="E29" s="135"/>
      <c r="F29" s="83">
        <f>IF(D29&lt;&gt;0,C29/D29,0)</f>
        <v>0</v>
      </c>
      <c r="G29" s="159"/>
      <c r="H29" s="54">
        <v>1.2111795318702914</v>
      </c>
      <c r="I29" s="72"/>
      <c r="J29" s="46">
        <f>C29*H29</f>
        <v>0</v>
      </c>
      <c r="K29" s="83">
        <f>F29*(H29)</f>
        <v>0</v>
      </c>
      <c r="L29" s="84"/>
    </row>
    <row r="30" spans="1:13" ht="12.75" customHeight="1" x14ac:dyDescent="0.25">
      <c r="A30" s="337" t="s">
        <v>137</v>
      </c>
      <c r="B30" s="135">
        <v>0</v>
      </c>
      <c r="C30" s="46">
        <v>0</v>
      </c>
      <c r="D30" s="135">
        <v>0</v>
      </c>
      <c r="E30" s="135"/>
      <c r="F30" s="83">
        <f>IF(D30&lt;&gt;0,C30/D30,0)</f>
        <v>0</v>
      </c>
      <c r="G30" s="159"/>
      <c r="H30" s="54">
        <v>1.5249384833271007</v>
      </c>
      <c r="I30" s="72"/>
      <c r="J30" s="46">
        <f>C30*H30</f>
        <v>0</v>
      </c>
      <c r="K30" s="83">
        <f>F30*(H30)</f>
        <v>0</v>
      </c>
      <c r="L30" s="84"/>
    </row>
    <row r="31" spans="1:13" ht="12.75" customHeight="1" x14ac:dyDescent="0.25">
      <c r="A31" s="337" t="s">
        <v>107</v>
      </c>
      <c r="B31" s="135">
        <v>0</v>
      </c>
      <c r="C31" s="46">
        <v>0</v>
      </c>
      <c r="D31" s="135">
        <v>0</v>
      </c>
      <c r="E31" s="135"/>
      <c r="F31" s="83">
        <f>IF(D31&lt;&gt;0,C31/D31,0)</f>
        <v>0</v>
      </c>
      <c r="G31" s="159"/>
      <c r="H31" s="54">
        <v>1.2111795318702914</v>
      </c>
      <c r="I31" s="72"/>
      <c r="J31" s="46">
        <f>C31*H31</f>
        <v>0</v>
      </c>
      <c r="K31" s="83">
        <f>F31*(H31)</f>
        <v>0</v>
      </c>
      <c r="L31" s="84"/>
    </row>
    <row r="32" spans="1:13" ht="12.75" customHeight="1" x14ac:dyDescent="0.25">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5.0999999999999996" customHeight="1" x14ac:dyDescent="0.25">
      <c r="A33" s="81"/>
      <c r="B33" s="135"/>
      <c r="C33" s="46"/>
      <c r="D33" s="135"/>
      <c r="E33" s="135"/>
      <c r="F33" s="83"/>
      <c r="G33" s="159"/>
      <c r="H33" s="54"/>
      <c r="I33" s="72"/>
      <c r="J33" s="46"/>
      <c r="K33" s="83"/>
      <c r="L33" s="84"/>
    </row>
    <row r="34" spans="1:12" ht="12.75" customHeight="1" x14ac:dyDescent="0.25">
      <c r="A34" s="89" t="s">
        <v>288</v>
      </c>
      <c r="B34" s="135"/>
      <c r="C34" s="46"/>
      <c r="D34" s="135"/>
      <c r="E34" s="135"/>
      <c r="F34" s="83"/>
      <c r="G34" s="159"/>
      <c r="H34" s="54"/>
      <c r="I34" s="72"/>
      <c r="J34" s="46"/>
      <c r="K34" s="83"/>
      <c r="L34" s="84"/>
    </row>
    <row r="35" spans="1:12" x14ac:dyDescent="0.25">
      <c r="A35" s="337" t="s">
        <v>135</v>
      </c>
      <c r="B35" s="135">
        <f t="shared" ref="B35:D38" si="0">SUM(B7,B14,B21,B28)</f>
        <v>1093.8505571502401</v>
      </c>
      <c r="C35" s="46">
        <f t="shared" si="0"/>
        <v>45581.537738380328</v>
      </c>
      <c r="D35" s="135">
        <f t="shared" si="0"/>
        <v>751585.64515142783</v>
      </c>
      <c r="E35" s="135"/>
      <c r="F35" s="83">
        <f>IF(D35&lt;&gt;0,C35/D35,0)</f>
        <v>6.0647163809517221E-2</v>
      </c>
      <c r="G35" s="159"/>
      <c r="H35" s="54">
        <v>1.2964905110516152</v>
      </c>
      <c r="I35" s="72"/>
      <c r="J35" s="46">
        <f>SUM(J7,J14,J21,J28)</f>
        <v>59096.03115695119</v>
      </c>
      <c r="K35" s="83">
        <f>F35*(H35)</f>
        <v>7.8628472401231997E-2</v>
      </c>
      <c r="L35" s="84"/>
    </row>
    <row r="36" spans="1:12" x14ac:dyDescent="0.25">
      <c r="A36" s="338" t="s">
        <v>136</v>
      </c>
      <c r="B36" s="135">
        <f t="shared" si="0"/>
        <v>444.82759203068804</v>
      </c>
      <c r="C36" s="46">
        <f t="shared" si="0"/>
        <v>10107.744755041211</v>
      </c>
      <c r="D36" s="135">
        <f t="shared" si="0"/>
        <v>313548.33636217058</v>
      </c>
      <c r="E36" s="135"/>
      <c r="F36" s="83">
        <f>IF(D36&lt;&gt;0,C36/D36,0)</f>
        <v>3.2236639722961404E-2</v>
      </c>
      <c r="G36" s="159"/>
      <c r="H36" s="54">
        <v>1.2111795318702914</v>
      </c>
      <c r="I36" s="72"/>
      <c r="J36" s="46">
        <f>SUM(J8,J15,J22,J29)</f>
        <v>12242.293560675207</v>
      </c>
      <c r="K36" s="83">
        <f>F36*(H36)</f>
        <v>3.9044358208727634E-2</v>
      </c>
      <c r="L36" s="84"/>
    </row>
    <row r="37" spans="1:12" x14ac:dyDescent="0.25">
      <c r="A37" s="337" t="s">
        <v>137</v>
      </c>
      <c r="B37" s="135">
        <f t="shared" si="0"/>
        <v>272.01706943091216</v>
      </c>
      <c r="C37" s="46">
        <f t="shared" si="0"/>
        <v>7883.8037193651935</v>
      </c>
      <c r="D37" s="135">
        <f t="shared" si="0"/>
        <v>190540.36273184631</v>
      </c>
      <c r="E37" s="135"/>
      <c r="F37" s="83">
        <f>IF(D37&lt;&gt;0,C37/D37,0)</f>
        <v>4.1376029762577544E-2</v>
      </c>
      <c r="G37" s="159"/>
      <c r="H37" s="54">
        <v>1.5249384833271007</v>
      </c>
      <c r="I37" s="72"/>
      <c r="J37" s="46">
        <f>SUM(J9,J16,J23,J30)</f>
        <v>12022.315686657315</v>
      </c>
      <c r="K37" s="83">
        <f>F37*(H37)</f>
        <v>6.3095900072241973E-2</v>
      </c>
      <c r="L37" s="84"/>
    </row>
    <row r="38" spans="1:12" x14ac:dyDescent="0.25">
      <c r="A38" s="337" t="s">
        <v>107</v>
      </c>
      <c r="B38" s="135">
        <f t="shared" si="0"/>
        <v>7.8451677501458166</v>
      </c>
      <c r="C38" s="46">
        <f t="shared" si="0"/>
        <v>311.19113107793407</v>
      </c>
      <c r="D38" s="135">
        <f t="shared" si="0"/>
        <v>5412.4784525819996</v>
      </c>
      <c r="E38" s="135"/>
      <c r="F38" s="83">
        <f>IF(D38&lt;&gt;0,C38/D38,0)</f>
        <v>5.7495126087657993E-2</v>
      </c>
      <c r="G38" s="159"/>
      <c r="H38" s="54">
        <v>1.2111795318702914</v>
      </c>
      <c r="I38" s="72"/>
      <c r="J38" s="46">
        <f>SUM(J10,J17,J24,J31)</f>
        <v>376.9083284611587</v>
      </c>
      <c r="K38" s="83">
        <f>F38*(H38)</f>
        <v>6.963691989967298E-2</v>
      </c>
      <c r="L38" s="84"/>
    </row>
    <row r="39" spans="1:12" x14ac:dyDescent="0.25">
      <c r="A39" s="338" t="s">
        <v>102</v>
      </c>
      <c r="B39" s="135">
        <f>SUM(B35:B38)</f>
        <v>1818.5403863619861</v>
      </c>
      <c r="C39" s="46">
        <f>SUM(C35:C38)</f>
        <v>63884.277343864662</v>
      </c>
      <c r="D39" s="135">
        <f>SUM(D35:D38)</f>
        <v>1261086.8226980267</v>
      </c>
      <c r="E39" s="135"/>
      <c r="F39" s="83"/>
      <c r="G39" s="159"/>
      <c r="H39" s="54"/>
      <c r="I39" s="72"/>
      <c r="J39" s="46">
        <f>SUM(J35:J38)</f>
        <v>83737.548732744865</v>
      </c>
      <c r="K39" s="83">
        <f>SUMPRODUCT(K35:K38,D35:D38)/D39</f>
        <v>6.6401097232617917E-2</v>
      </c>
      <c r="L39" s="84"/>
    </row>
    <row r="40" spans="1:12" ht="5.0999999999999996" customHeight="1" x14ac:dyDescent="0.25">
      <c r="A40" s="81"/>
      <c r="B40" s="135"/>
      <c r="C40" s="46"/>
      <c r="D40" s="135"/>
      <c r="E40" s="135"/>
      <c r="F40" s="83"/>
      <c r="G40" s="159"/>
      <c r="H40" s="54"/>
      <c r="I40" s="72"/>
      <c r="J40" s="46"/>
      <c r="K40" s="83"/>
      <c r="L40" s="84"/>
    </row>
    <row r="41" spans="1:12" x14ac:dyDescent="0.25">
      <c r="A41" s="81"/>
      <c r="B41" s="135"/>
      <c r="C41" s="46"/>
      <c r="D41" s="135"/>
      <c r="E41" s="135"/>
      <c r="F41" s="83"/>
      <c r="G41" s="159"/>
      <c r="H41" s="54"/>
      <c r="I41" s="72"/>
      <c r="J41" s="46"/>
      <c r="K41" s="83"/>
      <c r="L41" s="84"/>
    </row>
    <row r="42" spans="1:12" ht="15.6" x14ac:dyDescent="0.3">
      <c r="A42" s="158" t="s">
        <v>58</v>
      </c>
      <c r="L42" s="84"/>
    </row>
    <row r="43" spans="1:12" ht="15.6" x14ac:dyDescent="0.3">
      <c r="A43" s="158" t="s">
        <v>787</v>
      </c>
      <c r="L43" s="84"/>
    </row>
    <row r="44" spans="1:12" ht="26.4" x14ac:dyDescent="0.25">
      <c r="A44" s="4"/>
      <c r="B44" s="189" t="s">
        <v>248</v>
      </c>
      <c r="C44" s="146" t="s">
        <v>249</v>
      </c>
      <c r="D44" s="168" t="s">
        <v>250</v>
      </c>
      <c r="E44" s="168"/>
      <c r="F44" s="169" t="s">
        <v>207</v>
      </c>
      <c r="G44" s="159"/>
      <c r="H44" s="190" t="s">
        <v>246</v>
      </c>
      <c r="I44" s="159"/>
      <c r="J44" s="189" t="s">
        <v>110</v>
      </c>
      <c r="K44" s="41" t="s">
        <v>133</v>
      </c>
      <c r="L44" s="84"/>
    </row>
    <row r="45" spans="1:12" x14ac:dyDescent="0.25">
      <c r="A45" s="15" t="s">
        <v>385</v>
      </c>
      <c r="B45" s="135"/>
      <c r="C45" s="46"/>
      <c r="D45" s="135"/>
      <c r="E45" s="135"/>
      <c r="F45" s="83"/>
      <c r="G45" s="159"/>
      <c r="H45" s="54"/>
      <c r="I45" s="72"/>
      <c r="J45" s="46"/>
      <c r="K45" s="83"/>
      <c r="L45" s="84"/>
    </row>
    <row r="46" spans="1:12" ht="5.0999999999999996" customHeight="1" x14ac:dyDescent="0.25">
      <c r="A46" s="81"/>
      <c r="B46" s="135"/>
      <c r="C46" s="46"/>
      <c r="D46" s="135"/>
      <c r="E46" s="135"/>
      <c r="F46" s="83"/>
      <c r="G46" s="159"/>
      <c r="H46" s="54"/>
      <c r="I46" s="72"/>
      <c r="J46" s="46"/>
      <c r="K46" s="83"/>
      <c r="L46" s="84"/>
    </row>
    <row r="47" spans="1:12" x14ac:dyDescent="0.25">
      <c r="A47" s="89" t="s">
        <v>386</v>
      </c>
      <c r="B47" s="135"/>
      <c r="C47" s="46"/>
      <c r="D47" s="135"/>
      <c r="E47" s="135"/>
      <c r="F47" s="41"/>
      <c r="G47" s="159"/>
      <c r="H47" s="54"/>
      <c r="I47" s="72"/>
      <c r="J47" s="42"/>
      <c r="K47" s="41"/>
      <c r="L47" s="84"/>
    </row>
    <row r="48" spans="1:12" x14ac:dyDescent="0.25">
      <c r="A48" s="337" t="s">
        <v>135</v>
      </c>
      <c r="B48" s="135">
        <v>27.876224764355648</v>
      </c>
      <c r="C48" s="46">
        <v>1857.7006596393073</v>
      </c>
      <c r="D48" s="135">
        <v>25696.141853465597</v>
      </c>
      <c r="E48" s="135"/>
      <c r="F48" s="83">
        <f>IF(D48&lt;&gt;0,C48/D48,0)</f>
        <v>7.2294925449625902E-2</v>
      </c>
      <c r="G48" s="159"/>
      <c r="H48" s="54">
        <v>1.2964905110516152</v>
      </c>
      <c r="I48" s="72"/>
      <c r="J48" s="46">
        <f>C48*H48</f>
        <v>2408.4912775966882</v>
      </c>
      <c r="K48" s="83">
        <f>F48*(H48)</f>
        <v>9.3729684842623909E-2</v>
      </c>
      <c r="L48" s="84"/>
    </row>
    <row r="49" spans="1:12" x14ac:dyDescent="0.25">
      <c r="A49" s="338" t="s">
        <v>136</v>
      </c>
      <c r="B49" s="135">
        <v>5.683134988109706</v>
      </c>
      <c r="C49" s="46">
        <v>197.73417750419298</v>
      </c>
      <c r="D49" s="135">
        <v>12323.754697430724</v>
      </c>
      <c r="E49" s="135"/>
      <c r="F49" s="83">
        <f>IF(D49&lt;&gt;0,C49/D49,0)</f>
        <v>1.6044962136857278E-2</v>
      </c>
      <c r="G49" s="159"/>
      <c r="H49" s="54">
        <v>1.2111795318702914</v>
      </c>
      <c r="I49" s="72"/>
      <c r="J49" s="46">
        <f>C49*H49</f>
        <v>239.49158854428555</v>
      </c>
      <c r="K49" s="83">
        <f>F49*(H49)</f>
        <v>1.9433329729795348E-2</v>
      </c>
      <c r="L49" s="84"/>
    </row>
    <row r="50" spans="1:12" x14ac:dyDescent="0.25">
      <c r="A50" s="337" t="s">
        <v>137</v>
      </c>
      <c r="B50" s="53">
        <v>1.9174684383270075</v>
      </c>
      <c r="C50" s="46">
        <v>78.03685361226691</v>
      </c>
      <c r="D50" s="53">
        <v>4157.9886318814042</v>
      </c>
      <c r="E50" s="135"/>
      <c r="F50" s="83">
        <f>IF(D50&lt;&gt;0,C50/D50,0)</f>
        <v>1.8767933373823785E-2</v>
      </c>
      <c r="G50" s="159"/>
      <c r="H50" s="54">
        <v>1.5249384833271007</v>
      </c>
      <c r="I50" s="72"/>
      <c r="J50" s="46">
        <f>C50*H50</f>
        <v>119.00140119110928</v>
      </c>
      <c r="K50" s="83">
        <f>F50*(H50)</f>
        <v>2.8619943854262919E-2</v>
      </c>
      <c r="L50" s="84"/>
    </row>
    <row r="51" spans="1:12" x14ac:dyDescent="0.25">
      <c r="A51" s="337" t="s">
        <v>107</v>
      </c>
      <c r="B51" s="53">
        <v>0.1124816334043167</v>
      </c>
      <c r="C51" s="46">
        <v>4.4617639595956691</v>
      </c>
      <c r="D51" s="53">
        <v>243.91397722231434</v>
      </c>
      <c r="E51" s="135"/>
      <c r="F51" s="83">
        <f>IF(D51&lt;&gt;0,C51/D51,0)</f>
        <v>1.8292366884448831E-2</v>
      </c>
      <c r="G51" s="159"/>
      <c r="H51" s="54">
        <v>1.2111795318702914</v>
      </c>
      <c r="I51" s="72"/>
      <c r="J51" s="46">
        <f>C51*H51</f>
        <v>5.4039971838988201</v>
      </c>
      <c r="K51" s="83">
        <f>F51*(H51)</f>
        <v>2.2155340359906354E-2</v>
      </c>
      <c r="L51" s="84"/>
    </row>
    <row r="52" spans="1:12" x14ac:dyDescent="0.25">
      <c r="A52" s="337" t="s">
        <v>277</v>
      </c>
      <c r="B52" s="53">
        <f>SUM(B48:B51)</f>
        <v>35.589309824196675</v>
      </c>
      <c r="C52" s="46">
        <f>SUM(C48:C51)</f>
        <v>2137.933454715363</v>
      </c>
      <c r="D52" s="53">
        <f>SUM(D48:D51)</f>
        <v>42421.799160000039</v>
      </c>
      <c r="E52" s="135"/>
      <c r="F52" s="41"/>
      <c r="G52" s="159"/>
      <c r="H52" s="54"/>
      <c r="I52" s="72"/>
      <c r="J52" s="46">
        <f>SUM(J48:J51)</f>
        <v>2772.388264515982</v>
      </c>
      <c r="K52" s="83">
        <f>SUMPRODUCT(K48:K51,D48:D51)/D52</f>
        <v>6.5352915704011347E-2</v>
      </c>
      <c r="L52" s="84"/>
    </row>
    <row r="53" spans="1:12" x14ac:dyDescent="0.25">
      <c r="A53" s="21"/>
      <c r="B53" s="135"/>
      <c r="C53" s="135"/>
      <c r="D53" s="135"/>
      <c r="E53" s="135"/>
      <c r="F53" s="83"/>
      <c r="G53" s="159"/>
      <c r="H53" s="54"/>
      <c r="I53" s="72"/>
      <c r="J53" s="46"/>
      <c r="K53" s="83"/>
      <c r="L53" s="84"/>
    </row>
    <row r="54" spans="1:12" ht="5.0999999999999996" customHeight="1" x14ac:dyDescent="0.25">
      <c r="B54" s="57"/>
      <c r="C54" s="57"/>
      <c r="D54" s="57"/>
      <c r="E54" s="40"/>
      <c r="F54" s="41"/>
      <c r="G54" s="159"/>
      <c r="H54" s="54"/>
      <c r="I54" s="72"/>
      <c r="J54" s="42"/>
      <c r="K54" s="41"/>
    </row>
    <row r="55" spans="1:12" x14ac:dyDescent="0.25">
      <c r="A55" s="89" t="s">
        <v>387</v>
      </c>
      <c r="B55" s="57"/>
      <c r="C55" s="57"/>
      <c r="D55" s="57"/>
      <c r="E55" s="40"/>
      <c r="F55" s="41"/>
      <c r="G55" s="159"/>
      <c r="H55" s="54"/>
      <c r="I55" s="72"/>
      <c r="J55" s="42"/>
      <c r="K55" s="41"/>
    </row>
    <row r="56" spans="1:12" x14ac:dyDescent="0.25">
      <c r="A56" s="337" t="s">
        <v>135</v>
      </c>
      <c r="B56" s="135">
        <v>9.5056845205044969</v>
      </c>
      <c r="C56" s="46">
        <v>633.46871943161921</v>
      </c>
      <c r="D56" s="135">
        <v>8762.2847038276723</v>
      </c>
      <c r="E56" s="135"/>
      <c r="F56" s="83">
        <f>IF(D56&lt;&gt;0,C56/D56,0)</f>
        <v>7.229492544962593E-2</v>
      </c>
      <c r="G56" s="159"/>
      <c r="H56" s="54">
        <v>1.2964905110516152</v>
      </c>
      <c r="I56" s="72"/>
      <c r="J56" s="46">
        <f>C56*H56</f>
        <v>821.28618379111219</v>
      </c>
      <c r="K56" s="83">
        <f>F56*(H56)</f>
        <v>9.3729684842623937E-2</v>
      </c>
    </row>
    <row r="57" spans="1:12" x14ac:dyDescent="0.25">
      <c r="A57" s="338" t="s">
        <v>136</v>
      </c>
      <c r="B57" s="135">
        <v>1.8919740623896664</v>
      </c>
      <c r="C57" s="46">
        <v>65.827740475740711</v>
      </c>
      <c r="D57" s="135">
        <v>4102.7046317875802</v>
      </c>
      <c r="E57" s="135"/>
      <c r="F57" s="83">
        <f>IF(D57&lt;&gt;0,C57/D57,0)</f>
        <v>1.6044962136857278E-2</v>
      </c>
      <c r="G57" s="159"/>
      <c r="H57" s="54">
        <v>1.2111795318702914</v>
      </c>
      <c r="I57" s="72"/>
      <c r="J57" s="46">
        <f>C57*H57</f>
        <v>79.729211893486664</v>
      </c>
      <c r="K57" s="83">
        <f>F57*(H57)</f>
        <v>1.9433329729795348E-2</v>
      </c>
    </row>
    <row r="58" spans="1:12" x14ac:dyDescent="0.25">
      <c r="A58" s="337" t="s">
        <v>137</v>
      </c>
      <c r="B58" s="53">
        <v>0.58582719645507897</v>
      </c>
      <c r="C58" s="46">
        <v>23.841910645338732</v>
      </c>
      <c r="D58" s="53">
        <v>1270.3535424199547</v>
      </c>
      <c r="E58" s="135"/>
      <c r="F58" s="83">
        <f>IF(D58&lt;&gt;0,C58/D58,0)</f>
        <v>1.8767933373823781E-2</v>
      </c>
      <c r="G58" s="159"/>
      <c r="H58" s="54">
        <v>1.5249384833271007</v>
      </c>
      <c r="I58" s="72"/>
      <c r="J58" s="46">
        <f>C58*H58</f>
        <v>36.357447059123103</v>
      </c>
      <c r="K58" s="83">
        <f>F58*(H58)</f>
        <v>2.8619943854262912E-2</v>
      </c>
    </row>
    <row r="59" spans="1:12" x14ac:dyDescent="0.25">
      <c r="A59" s="337" t="s">
        <v>107</v>
      </c>
      <c r="B59" s="53">
        <v>3.0590245755100196E-2</v>
      </c>
      <c r="C59" s="46">
        <v>1.2134110422692574</v>
      </c>
      <c r="D59" s="53">
        <v>66.334283033697147</v>
      </c>
      <c r="E59" s="135"/>
      <c r="F59" s="83">
        <f>IF(D59&lt;&gt;0,C59/D59,0)</f>
        <v>1.8292366884448828E-2</v>
      </c>
      <c r="G59" s="159"/>
      <c r="H59" s="54">
        <v>1.2111795318702914</v>
      </c>
      <c r="I59" s="72"/>
      <c r="J59" s="46">
        <f>C59*H59</f>
        <v>1.4696586181419216</v>
      </c>
      <c r="K59" s="83">
        <f>F59*(H59)</f>
        <v>2.215534035990635E-2</v>
      </c>
    </row>
    <row r="60" spans="1:12" x14ac:dyDescent="0.25">
      <c r="A60" s="337" t="s">
        <v>277</v>
      </c>
      <c r="B60" s="53">
        <f>SUM(B56:B59)</f>
        <v>12.014076025104341</v>
      </c>
      <c r="C60" s="46">
        <f>SUM(C56:C59)</f>
        <v>724.35178159496797</v>
      </c>
      <c r="D60" s="53">
        <f>SUM(D56:D59)</f>
        <v>14201.677161068905</v>
      </c>
      <c r="E60" s="135"/>
      <c r="F60" s="41"/>
      <c r="G60" s="159"/>
      <c r="H60" s="54"/>
      <c r="I60" s="72"/>
      <c r="J60" s="46">
        <f>SUM(J56:J59)</f>
        <v>938.84250136186392</v>
      </c>
      <c r="K60" s="83">
        <f>SUMPRODUCT(K56:K59,D56:D59)/D60</f>
        <v>6.6107861114848843E-2</v>
      </c>
    </row>
    <row r="61" spans="1:12" ht="5.0999999999999996" customHeight="1" x14ac:dyDescent="0.25">
      <c r="B61" s="135"/>
      <c r="C61" s="135"/>
      <c r="D61" s="135"/>
      <c r="E61" s="135"/>
      <c r="F61" s="41"/>
      <c r="G61" s="159"/>
      <c r="H61" s="54"/>
      <c r="I61" s="72"/>
      <c r="J61" s="42"/>
      <c r="K61" s="41"/>
    </row>
    <row r="62" spans="1:12" x14ac:dyDescent="0.25">
      <c r="A62" s="89" t="s">
        <v>388</v>
      </c>
      <c r="B62" s="11"/>
      <c r="C62" s="11"/>
      <c r="D62" s="11"/>
      <c r="E62" s="11"/>
      <c r="F62" s="11"/>
      <c r="G62" s="11"/>
      <c r="I62" s="11"/>
      <c r="J62" s="11"/>
      <c r="K62" s="11"/>
    </row>
    <row r="63" spans="1:12" x14ac:dyDescent="0.25">
      <c r="A63" s="337" t="s">
        <v>135</v>
      </c>
      <c r="B63" s="135">
        <v>5.0573669095948892</v>
      </c>
      <c r="C63" s="46">
        <v>337.02819960059952</v>
      </c>
      <c r="D63" s="135">
        <v>4661.8514024948554</v>
      </c>
      <c r="E63" s="11"/>
      <c r="F63" s="83">
        <f>IF(D63&lt;&gt;0,C63/D63,0)</f>
        <v>7.2294925449625902E-2</v>
      </c>
      <c r="G63" s="11"/>
      <c r="H63" s="54">
        <v>1.2964905110516152</v>
      </c>
      <c r="I63" s="11"/>
      <c r="J63" s="46">
        <f>C63*H63</f>
        <v>436.95386273898703</v>
      </c>
      <c r="K63" s="83">
        <f>F63*(H63)</f>
        <v>9.3729684842623909E-2</v>
      </c>
    </row>
    <row r="64" spans="1:12" x14ac:dyDescent="0.25">
      <c r="A64" s="338" t="s">
        <v>136</v>
      </c>
      <c r="B64" s="135">
        <v>1.2802304132106685</v>
      </c>
      <c r="C64" s="46">
        <v>44.543250917266093</v>
      </c>
      <c r="D64" s="135">
        <v>2776.1518249360461</v>
      </c>
      <c r="E64" s="11"/>
      <c r="F64" s="83">
        <f>IF(D64&lt;&gt;0,C64/D64,0)</f>
        <v>1.6044962136857278E-2</v>
      </c>
      <c r="G64" s="11"/>
      <c r="H64" s="54">
        <v>1.2111795318702914</v>
      </c>
      <c r="I64" s="11"/>
      <c r="J64" s="46">
        <f>C64*H64</f>
        <v>53.94987379395527</v>
      </c>
      <c r="K64" s="83">
        <f>F64*(H64)</f>
        <v>1.9433329729795348E-2</v>
      </c>
    </row>
    <row r="65" spans="1:13" x14ac:dyDescent="0.25">
      <c r="A65" s="337" t="s">
        <v>137</v>
      </c>
      <c r="B65" s="53">
        <v>0.70843020560985348</v>
      </c>
      <c r="C65" s="46">
        <v>28.831590207513038</v>
      </c>
      <c r="D65" s="53">
        <v>1536.2155029666374</v>
      </c>
      <c r="E65" s="11"/>
      <c r="F65" s="83">
        <f>IF(D65&lt;&gt;0,C65/D65,0)</f>
        <v>1.8767933373823781E-2</v>
      </c>
      <c r="G65" s="11"/>
      <c r="H65" s="54">
        <v>1.5249384833271007</v>
      </c>
      <c r="I65" s="11"/>
      <c r="J65" s="46">
        <f>C65*H65</f>
        <v>43.966401442953419</v>
      </c>
      <c r="K65" s="83">
        <f>F65*(H65)</f>
        <v>2.8619943854262912E-2</v>
      </c>
    </row>
    <row r="66" spans="1:13" x14ac:dyDescent="0.25">
      <c r="A66" s="337" t="s">
        <v>107</v>
      </c>
      <c r="B66" s="53">
        <v>5.6593790005311659E-2</v>
      </c>
      <c r="C66" s="46">
        <v>2.2448832306246955</v>
      </c>
      <c r="D66" s="53">
        <v>122.7224035470868</v>
      </c>
      <c r="E66" s="11"/>
      <c r="F66" s="83">
        <f>IF(D66&lt;&gt;0,C66/D66,0)</f>
        <v>1.8292366884448824E-2</v>
      </c>
      <c r="G66" s="11"/>
      <c r="H66" s="54">
        <v>1.2111795318702914</v>
      </c>
      <c r="I66" s="11"/>
      <c r="J66" s="46">
        <f>C66*H66</f>
        <v>2.7189566203714861</v>
      </c>
      <c r="K66" s="83">
        <f>F66*(H66)</f>
        <v>2.2155340359906347E-2</v>
      </c>
    </row>
    <row r="67" spans="1:13" x14ac:dyDescent="0.25">
      <c r="A67" s="337" t="s">
        <v>277</v>
      </c>
      <c r="B67" s="53">
        <f>SUM(B63:B66)</f>
        <v>7.1026213184207228</v>
      </c>
      <c r="C67" s="46">
        <f>SUM(C63:C66)</f>
        <v>412.64792395600335</v>
      </c>
      <c r="D67" s="53">
        <f>SUM(D63:D66)</f>
        <v>9096.9411339446251</v>
      </c>
      <c r="E67" s="11"/>
      <c r="F67" s="11"/>
      <c r="G67" s="11"/>
      <c r="I67" s="11"/>
      <c r="J67" s="46">
        <f>SUM(J63:J66)</f>
        <v>537.58909459626716</v>
      </c>
      <c r="K67" s="83">
        <f>SUMPRODUCT(K63:K66,D63:D66)/D67</f>
        <v>5.9095589020609317E-2</v>
      </c>
    </row>
    <row r="68" spans="1:13" ht="5.0999999999999996" customHeight="1" x14ac:dyDescent="0.25">
      <c r="A68" s="21"/>
      <c r="B68" s="135"/>
      <c r="C68" s="46"/>
      <c r="D68" s="135"/>
      <c r="E68" s="135"/>
      <c r="F68" s="41"/>
      <c r="G68" s="159"/>
      <c r="H68" s="54"/>
      <c r="I68" s="72"/>
      <c r="J68" s="42"/>
      <c r="K68" s="41"/>
    </row>
    <row r="69" spans="1:13" ht="12.75" customHeight="1" x14ac:dyDescent="0.25">
      <c r="A69" s="89" t="s">
        <v>389</v>
      </c>
      <c r="B69" s="135"/>
      <c r="C69" s="46"/>
      <c r="D69" s="135"/>
      <c r="E69" s="135"/>
      <c r="F69" s="83"/>
      <c r="G69" s="159"/>
      <c r="H69" s="54"/>
      <c r="I69" s="72"/>
      <c r="J69" s="46"/>
      <c r="K69" s="83"/>
    </row>
    <row r="70" spans="1:13" ht="12.75" customHeight="1" x14ac:dyDescent="0.25">
      <c r="A70" s="337" t="s">
        <v>135</v>
      </c>
      <c r="B70" s="135">
        <f t="shared" ref="B70:D73" si="1">SUM(B48,B56,B63)</f>
        <v>42.439276194455033</v>
      </c>
      <c r="C70" s="46">
        <f t="shared" si="1"/>
        <v>2828.1975786715261</v>
      </c>
      <c r="D70" s="135">
        <f t="shared" si="1"/>
        <v>39120.277959788124</v>
      </c>
      <c r="E70" s="135"/>
      <c r="F70" s="83">
        <f>IF(D70&lt;&gt;0,C70/D70,0)</f>
        <v>7.2294925449625916E-2</v>
      </c>
      <c r="G70" s="159"/>
      <c r="H70" s="54">
        <v>1.2964905110516152</v>
      </c>
      <c r="I70" s="72"/>
      <c r="J70" s="46">
        <f>C70*H70</f>
        <v>3666.7313241267875</v>
      </c>
      <c r="K70" s="83">
        <f>F70*(H70)</f>
        <v>9.3729684842623923E-2</v>
      </c>
    </row>
    <row r="71" spans="1:13" ht="12.75" customHeight="1" x14ac:dyDescent="0.25">
      <c r="A71" s="338" t="s">
        <v>136</v>
      </c>
      <c r="B71" s="135">
        <f t="shared" si="1"/>
        <v>8.85533946371004</v>
      </c>
      <c r="C71" s="46">
        <f t="shared" si="1"/>
        <v>308.1051688971998</v>
      </c>
      <c r="D71" s="135">
        <f t="shared" si="1"/>
        <v>19202.611154154351</v>
      </c>
      <c r="E71" s="135"/>
      <c r="F71" s="83">
        <f>IF(D71&lt;&gt;0,C71/D71,0)</f>
        <v>1.6044962136857278E-2</v>
      </c>
      <c r="G71" s="159"/>
      <c r="H71" s="54">
        <v>1.2111795318702914</v>
      </c>
      <c r="I71" s="72"/>
      <c r="J71" s="46">
        <f>C71*H71</f>
        <v>373.1706742317275</v>
      </c>
      <c r="K71" s="83">
        <f>F71*(H71)</f>
        <v>1.9433329729795348E-2</v>
      </c>
    </row>
    <row r="72" spans="1:13" ht="12.75" customHeight="1" x14ac:dyDescent="0.25">
      <c r="A72" s="337" t="s">
        <v>137</v>
      </c>
      <c r="B72" s="135">
        <f t="shared" si="1"/>
        <v>3.21172584039194</v>
      </c>
      <c r="C72" s="46">
        <f t="shared" si="1"/>
        <v>130.71035446511868</v>
      </c>
      <c r="D72" s="135">
        <f t="shared" si="1"/>
        <v>6964.557677267996</v>
      </c>
      <c r="E72" s="135"/>
      <c r="F72" s="83">
        <f>IF(D72&lt;&gt;0,C72/D72,0)</f>
        <v>1.8767933373823785E-2</v>
      </c>
      <c r="G72" s="159"/>
      <c r="H72" s="54">
        <v>1.5249384833271007</v>
      </c>
      <c r="I72" s="72"/>
      <c r="J72" s="46">
        <f>C72*H72</f>
        <v>199.32524969318581</v>
      </c>
      <c r="K72" s="83">
        <f>F72*(H72)</f>
        <v>2.8619943854262919E-2</v>
      </c>
    </row>
    <row r="73" spans="1:13" ht="12.75" customHeight="1" x14ac:dyDescent="0.25">
      <c r="A73" s="337" t="s">
        <v>107</v>
      </c>
      <c r="B73" s="135">
        <f t="shared" si="1"/>
        <v>0.19966566916472855</v>
      </c>
      <c r="C73" s="46">
        <f t="shared" si="1"/>
        <v>7.9200582324896214</v>
      </c>
      <c r="D73" s="135">
        <f t="shared" si="1"/>
        <v>432.97066380309826</v>
      </c>
      <c r="E73" s="135"/>
      <c r="F73" s="83">
        <f>IF(D73&lt;&gt;0,C73/D73,0)</f>
        <v>1.8292366884448828E-2</v>
      </c>
      <c r="G73" s="159"/>
      <c r="H73" s="54">
        <v>1.2111795318702914</v>
      </c>
      <c r="I73" s="72"/>
      <c r="J73" s="46">
        <f>C73*H73</f>
        <v>9.5926124224122269</v>
      </c>
      <c r="K73" s="83">
        <f>F73*(H73)</f>
        <v>2.215534035990635E-2</v>
      </c>
    </row>
    <row r="74" spans="1:13" ht="12.75" customHeight="1" x14ac:dyDescent="0.25">
      <c r="A74" s="337" t="s">
        <v>102</v>
      </c>
      <c r="B74" s="135">
        <f>SUM(B70:B73)</f>
        <v>54.706007167721744</v>
      </c>
      <c r="C74" s="46">
        <f>SUM(C70:C73)</f>
        <v>3274.9331602663342</v>
      </c>
      <c r="D74" s="135">
        <f>SUM(D70:D73)</f>
        <v>65720.417455013565</v>
      </c>
      <c r="E74" s="135"/>
      <c r="F74" s="41"/>
      <c r="G74" s="159"/>
      <c r="H74" s="54"/>
      <c r="I74" s="72"/>
      <c r="J74" s="46">
        <f>SUM(J70:J73)</f>
        <v>4248.8198604741128</v>
      </c>
      <c r="K74" s="83">
        <f>SUMPRODUCT(K70:K73,D70:D73)/D74</f>
        <v>6.4649921972611976E-2</v>
      </c>
    </row>
    <row r="75" spans="1:13" ht="5.0999999999999996" customHeight="1" x14ac:dyDescent="0.25">
      <c r="A75" s="21"/>
      <c r="B75" s="135"/>
      <c r="C75" s="46"/>
      <c r="D75" s="135"/>
      <c r="E75" s="135"/>
      <c r="F75" s="41"/>
      <c r="G75" s="159"/>
      <c r="H75" s="54"/>
      <c r="I75" s="72"/>
      <c r="J75" s="42"/>
      <c r="K75" s="41"/>
    </row>
    <row r="76" spans="1:13" x14ac:dyDescent="0.25">
      <c r="A76" s="81"/>
      <c r="B76" s="135"/>
      <c r="C76" s="46"/>
      <c r="D76" s="135"/>
      <c r="E76" s="135"/>
      <c r="F76" s="83"/>
      <c r="G76" s="159"/>
      <c r="H76" s="54"/>
      <c r="I76" s="72"/>
      <c r="J76" s="46"/>
      <c r="K76" s="83"/>
      <c r="L76" s="84"/>
    </row>
    <row r="77" spans="1:13" x14ac:dyDescent="0.25">
      <c r="A77" s="15" t="s">
        <v>285</v>
      </c>
      <c r="B77" s="48"/>
      <c r="C77" s="42"/>
      <c r="D77" s="40"/>
      <c r="E77" s="40"/>
      <c r="F77" s="41"/>
      <c r="G77" s="159"/>
      <c r="H77" s="54"/>
      <c r="I77" s="72"/>
      <c r="J77" s="42"/>
      <c r="K77" s="41"/>
    </row>
    <row r="78" spans="1:13" x14ac:dyDescent="0.25">
      <c r="A78" s="337" t="s">
        <v>135</v>
      </c>
      <c r="B78" s="135">
        <v>397.87426812709595</v>
      </c>
      <c r="C78" s="46">
        <v>26514.755731856279</v>
      </c>
      <c r="D78" s="135">
        <v>1036911.2583938822</v>
      </c>
      <c r="E78" s="135"/>
      <c r="F78" s="83">
        <f>IF(D78&lt;&gt;0,C78/D78,0)</f>
        <v>2.5570901576405063E-2</v>
      </c>
      <c r="G78" s="159"/>
      <c r="H78" s="54">
        <v>1.2964905110516152</v>
      </c>
      <c r="I78" s="72"/>
      <c r="J78" s="46">
        <f>C78*H78</f>
        <v>34376.129209203093</v>
      </c>
      <c r="K78" s="83">
        <f>F78*(H78)</f>
        <v>3.315243125284395E-2</v>
      </c>
      <c r="M78" s="63"/>
    </row>
    <row r="79" spans="1:13" x14ac:dyDescent="0.25">
      <c r="A79" s="338" t="s">
        <v>136</v>
      </c>
      <c r="B79" s="135">
        <v>128.81835582293783</v>
      </c>
      <c r="C79" s="46">
        <v>4481.9965898018154</v>
      </c>
      <c r="D79" s="135">
        <v>400809.35643578932</v>
      </c>
      <c r="E79" s="135"/>
      <c r="F79" s="83">
        <f>IF(D79&lt;&gt;0,C79/D79,0)</f>
        <v>1.1182365176447278E-2</v>
      </c>
      <c r="G79" s="159"/>
      <c r="H79" s="54">
        <v>1.2111795318702914</v>
      </c>
      <c r="I79" s="72"/>
      <c r="J79" s="46">
        <f>C79*H79</f>
        <v>5428.5025314804052</v>
      </c>
      <c r="K79" s="83">
        <f>F79*(H79)</f>
        <v>1.3543851819612063E-2</v>
      </c>
      <c r="M79" s="63"/>
    </row>
    <row r="80" spans="1:13" x14ac:dyDescent="0.25">
      <c r="A80" s="337" t="s">
        <v>137</v>
      </c>
      <c r="B80" s="135">
        <v>59.32221350295459</v>
      </c>
      <c r="C80" s="46">
        <v>2622.3087867913564</v>
      </c>
      <c r="D80" s="135">
        <v>184576.942195624</v>
      </c>
      <c r="E80" s="135"/>
      <c r="F80" s="83">
        <f>IF(D80&lt;&gt;0,C80/D80,0)</f>
        <v>1.4207130942781036E-2</v>
      </c>
      <c r="G80" s="159"/>
      <c r="H80" s="54">
        <v>1.5249384833271007</v>
      </c>
      <c r="I80" s="72"/>
      <c r="J80" s="46">
        <f>C80*H80</f>
        <v>3998.8595841449405</v>
      </c>
      <c r="K80" s="83">
        <f>F80*(H80)</f>
        <v>2.1665000712314034E-2</v>
      </c>
      <c r="M80" s="63"/>
    </row>
    <row r="81" spans="1:20" x14ac:dyDescent="0.25">
      <c r="A81" s="337" t="s">
        <v>107</v>
      </c>
      <c r="B81" s="135">
        <v>2.2896089482745521</v>
      </c>
      <c r="C81" s="46">
        <v>90.821002307627353</v>
      </c>
      <c r="D81" s="135">
        <v>7123.9590288586769</v>
      </c>
      <c r="E81" s="135"/>
      <c r="F81" s="83">
        <f>IF(D81&lt;&gt;0,C81/D81,0)</f>
        <v>1.2748669937561068E-2</v>
      </c>
      <c r="G81" s="159"/>
      <c r="H81" s="54">
        <v>1.2111795318702914</v>
      </c>
      <c r="I81" s="72"/>
      <c r="J81" s="46">
        <f>C81*H81</f>
        <v>110.00053905894275</v>
      </c>
      <c r="K81" s="83">
        <f>F81*(H81)</f>
        <v>1.5440928086944071E-2</v>
      </c>
      <c r="M81" s="63"/>
    </row>
    <row r="82" spans="1:20" x14ac:dyDescent="0.25">
      <c r="A82" s="337" t="s">
        <v>102</v>
      </c>
      <c r="B82" s="135">
        <f>SUM(B78:B81)</f>
        <v>588.30444640126291</v>
      </c>
      <c r="C82" s="46">
        <f>SUM(C78:C81)</f>
        <v>33709.882110757077</v>
      </c>
      <c r="D82" s="135">
        <f>SUM(D78:D81)</f>
        <v>1629421.5160541544</v>
      </c>
      <c r="E82" s="135"/>
      <c r="F82" s="83">
        <f>IF(D82&lt;&gt;0,C82/D82,0)</f>
        <v>2.0688251492093784E-2</v>
      </c>
      <c r="G82" s="159"/>
      <c r="H82" s="54"/>
      <c r="I82" s="72"/>
      <c r="J82" s="46">
        <f>SUM(J78:J81)</f>
        <v>43913.491863887386</v>
      </c>
      <c r="K82" s="83">
        <f>SUMPRODUCT(K78:K81,D78:D81)/D82</f>
        <v>2.6950357185800106E-2</v>
      </c>
      <c r="M82" s="63"/>
    </row>
    <row r="83" spans="1:20" ht="5.0999999999999996" customHeight="1" x14ac:dyDescent="0.25">
      <c r="B83" s="57"/>
      <c r="C83" s="46"/>
      <c r="D83" s="44"/>
      <c r="E83" s="44"/>
      <c r="F83" s="45"/>
      <c r="G83" s="23"/>
      <c r="H83" s="55"/>
      <c r="I83" s="79"/>
      <c r="J83" s="46"/>
      <c r="K83" s="41"/>
    </row>
    <row r="84" spans="1:20" ht="12.75" customHeight="1" x14ac:dyDescent="0.25"/>
    <row r="85" spans="1:20" ht="15.6" x14ac:dyDescent="0.3">
      <c r="A85" s="158" t="s">
        <v>59</v>
      </c>
    </row>
    <row r="86" spans="1:20" ht="15.6" x14ac:dyDescent="0.3">
      <c r="A86" s="158" t="s">
        <v>787</v>
      </c>
    </row>
    <row r="87" spans="1:20" ht="26.4" x14ac:dyDescent="0.25">
      <c r="A87" s="4"/>
      <c r="B87" s="189" t="s">
        <v>223</v>
      </c>
      <c r="C87" s="146" t="s">
        <v>217</v>
      </c>
      <c r="D87" s="168" t="s">
        <v>222</v>
      </c>
      <c r="E87" s="168"/>
      <c r="F87" s="169" t="s">
        <v>207</v>
      </c>
      <c r="G87" s="159"/>
      <c r="H87" s="190" t="s">
        <v>246</v>
      </c>
      <c r="I87" s="159"/>
      <c r="J87" s="189" t="s">
        <v>110</v>
      </c>
      <c r="K87" s="41" t="s">
        <v>133</v>
      </c>
    </row>
    <row r="88" spans="1:20" x14ac:dyDescent="0.25">
      <c r="A88" s="25" t="s">
        <v>390</v>
      </c>
      <c r="B88" s="57"/>
      <c r="C88" s="46"/>
      <c r="D88" s="44"/>
      <c r="E88" s="44"/>
      <c r="F88" s="45"/>
      <c r="G88" s="23"/>
      <c r="H88" s="55"/>
      <c r="I88" s="79"/>
      <c r="J88" s="46"/>
      <c r="K88" s="41"/>
      <c r="N88" s="63"/>
    </row>
    <row r="89" spans="1:20" x14ac:dyDescent="0.25">
      <c r="A89" s="21" t="s">
        <v>186</v>
      </c>
      <c r="B89" s="57"/>
      <c r="C89" s="46"/>
      <c r="D89" s="44"/>
      <c r="E89" s="44"/>
      <c r="F89" s="45"/>
      <c r="G89" s="23"/>
      <c r="H89" s="55"/>
      <c r="I89" s="79"/>
      <c r="J89" s="46"/>
      <c r="K89" s="41"/>
      <c r="N89" s="63"/>
    </row>
    <row r="90" spans="1:20" x14ac:dyDescent="0.25">
      <c r="A90" s="81" t="s">
        <v>138</v>
      </c>
      <c r="B90" s="56" t="s">
        <v>106</v>
      </c>
      <c r="C90" s="46">
        <f>'Table 3.14-Route UAA'!C90*SUM($D$103,$D$109)/SUM($D$103,$D$109,'Table 3.15-Route UAA NoPARS'!$D$103,'Table 3.15-Route UAA NoPARS'!$D$109)</f>
        <v>765.56263986855549</v>
      </c>
      <c r="D90" s="40">
        <f>'Table 3.14-Route UAA'!D90*SUM($D$103,$D$109)/SUM($D$103,$D$109,'Table 3.15-Route UAA NoPARS'!$D$103,'Table 3.15-Route UAA NoPARS'!$D$109)</f>
        <v>13654.877052303844</v>
      </c>
      <c r="E90" s="184" t="s">
        <v>239</v>
      </c>
      <c r="F90" s="83">
        <f>IF(D90&lt;&gt;0,C90/D90,0)</f>
        <v>5.6065143386947611E-2</v>
      </c>
      <c r="G90" s="285" t="s">
        <v>240</v>
      </c>
      <c r="H90" s="54">
        <v>1.302844966601308</v>
      </c>
      <c r="I90" s="72"/>
      <c r="J90" s="46">
        <f>C90*H90</f>
        <v>997.4094319707574</v>
      </c>
      <c r="K90" s="83">
        <f>F90*(H90)</f>
        <v>7.3044189863465309E-2</v>
      </c>
      <c r="P90" s="140"/>
      <c r="Q90" s="140"/>
      <c r="R90" s="140"/>
      <c r="S90" s="140"/>
      <c r="T90" s="140"/>
    </row>
    <row r="91" spans="1:20" x14ac:dyDescent="0.25">
      <c r="A91" s="81" t="s">
        <v>781</v>
      </c>
      <c r="B91" s="56" t="s">
        <v>106</v>
      </c>
      <c r="C91" s="46">
        <f>'Table 3.14-Route UAA'!C91*SUM($D$103,$D$109)/SUM($D$103,$D$109,'Table 3.15-Route UAA NoPARS'!$D$103,'Table 3.15-Route UAA NoPARS'!$D$109)</f>
        <v>2951.7772938282601</v>
      </c>
      <c r="D91" s="40">
        <f>'Table 3.14-Route UAA'!D91*SUM($D$103,$D$109)/SUM($D$103,$D$109,'Table 3.15-Route UAA NoPARS'!$D$103,'Table 3.15-Route UAA NoPARS'!$D$109)</f>
        <v>13654.877052303844</v>
      </c>
      <c r="E91" s="184" t="s">
        <v>239</v>
      </c>
      <c r="F91" s="83">
        <f>IF(D91&lt;&gt;0,C91/D91,0)</f>
        <v>0.21617018465429813</v>
      </c>
      <c r="G91" s="285" t="s">
        <v>240</v>
      </c>
      <c r="H91" s="340">
        <v>1.6624309879114112</v>
      </c>
      <c r="I91" s="72"/>
      <c r="J91" s="46">
        <f>C91*H91</f>
        <v>4907.1260426733861</v>
      </c>
      <c r="K91" s="83">
        <f>F91*(H91)</f>
        <v>0.35936801363183701</v>
      </c>
      <c r="L91" s="64"/>
      <c r="M91" s="442"/>
    </row>
    <row r="92" spans="1:20" x14ac:dyDescent="0.25">
      <c r="A92" s="21" t="s">
        <v>187</v>
      </c>
      <c r="B92" s="56"/>
      <c r="C92" s="46"/>
      <c r="D92" s="40"/>
      <c r="E92" s="40"/>
      <c r="F92" s="41"/>
      <c r="G92" s="159"/>
      <c r="H92" s="54"/>
      <c r="I92" s="72"/>
      <c r="J92" s="42"/>
      <c r="K92" s="41"/>
    </row>
    <row r="93" spans="1:20" x14ac:dyDescent="0.25">
      <c r="A93" s="81" t="s">
        <v>138</v>
      </c>
      <c r="B93" s="56" t="s">
        <v>106</v>
      </c>
      <c r="C93" s="46">
        <f>'Table 3.14-Route UAA'!C93*$D$111/SUM($D$111,'Table 3.15-Route UAA NoPARS'!$D$111)</f>
        <v>182.03732454389487</v>
      </c>
      <c r="D93" s="40">
        <f>'Table 3.14-Route UAA'!D93*$D$111/SUM($D$111,'Table 3.15-Route UAA NoPARS'!$D$111)</f>
        <v>3500.9333130003743</v>
      </c>
      <c r="E93" s="184" t="s">
        <v>239</v>
      </c>
      <c r="F93" s="83">
        <f>IF(D93&lt;&gt;0,C93/D93,0)</f>
        <v>5.1996798644497751E-2</v>
      </c>
      <c r="G93" s="285" t="s">
        <v>240</v>
      </c>
      <c r="H93" s="54">
        <v>1.302844966601308</v>
      </c>
      <c r="I93" s="72"/>
      <c r="J93" s="46">
        <f>C93*H93</f>
        <v>237.16641201558218</v>
      </c>
      <c r="K93" s="83">
        <f>F93*(H93)</f>
        <v>6.7743767393365614E-2</v>
      </c>
    </row>
    <row r="94" spans="1:20" x14ac:dyDescent="0.25">
      <c r="A94" s="81" t="s">
        <v>781</v>
      </c>
      <c r="B94" s="56" t="s">
        <v>106</v>
      </c>
      <c r="C94" s="46">
        <f>'Table 3.14-Route UAA'!C94*$D$111/SUM($D$111,'Table 3.15-Route UAA NoPARS'!$D$111)</f>
        <v>348.00613969717404</v>
      </c>
      <c r="D94" s="40">
        <f>'Table 3.14-Route UAA'!D94*$D$111/SUM($D$111,'Table 3.15-Route UAA NoPARS'!$D$111)</f>
        <v>3500.9333130003743</v>
      </c>
      <c r="E94" s="184" t="s">
        <v>239</v>
      </c>
      <c r="F94" s="83">
        <f>IF(D94&lt;&gt;0,C94/D94,0)</f>
        <v>9.9403818520303486E-2</v>
      </c>
      <c r="G94" s="285" t="s">
        <v>240</v>
      </c>
      <c r="H94" s="340">
        <v>1.6624309879114112</v>
      </c>
      <c r="I94" s="79"/>
      <c r="J94" s="46">
        <f>C94*H94</f>
        <v>578.53619061600955</v>
      </c>
      <c r="K94" s="83">
        <f>F94*(H94)</f>
        <v>0.16525198822487475</v>
      </c>
      <c r="L94" s="64"/>
      <c r="M94" s="442"/>
    </row>
    <row r="95" spans="1:20" x14ac:dyDescent="0.25">
      <c r="A95" s="81"/>
      <c r="B95" s="57"/>
      <c r="C95" s="46"/>
      <c r="D95" s="44"/>
      <c r="E95" s="44"/>
      <c r="F95" s="45"/>
      <c r="G95" s="23"/>
      <c r="H95" s="55"/>
      <c r="I95" s="79"/>
      <c r="J95" s="46"/>
      <c r="K95" s="41"/>
    </row>
    <row r="96" spans="1:20" x14ac:dyDescent="0.25">
      <c r="A96" s="25" t="s">
        <v>391</v>
      </c>
      <c r="B96" s="57"/>
      <c r="C96" s="46"/>
      <c r="D96" s="44"/>
      <c r="E96" s="44"/>
      <c r="F96" s="45"/>
      <c r="G96" s="23"/>
      <c r="H96" s="55"/>
      <c r="I96" s="79"/>
      <c r="J96" s="46"/>
      <c r="K96" s="41"/>
    </row>
    <row r="97" spans="1:24" ht="5.0999999999999996" customHeight="1" x14ac:dyDescent="0.25">
      <c r="A97" s="25"/>
      <c r="B97" s="57"/>
      <c r="C97" s="46"/>
      <c r="D97" s="44"/>
      <c r="E97" s="44"/>
      <c r="F97" s="45"/>
      <c r="G97" s="23"/>
      <c r="H97" s="55"/>
      <c r="I97" s="79"/>
      <c r="J97" s="46"/>
      <c r="K97" s="41"/>
    </row>
    <row r="98" spans="1:24" x14ac:dyDescent="0.25">
      <c r="A98" s="82" t="s">
        <v>284</v>
      </c>
      <c r="B98" s="57"/>
      <c r="C98" s="46"/>
      <c r="D98" s="44"/>
      <c r="E98" s="44"/>
      <c r="F98" s="45"/>
      <c r="G98" s="23"/>
      <c r="H98" s="55"/>
      <c r="I98" s="79"/>
      <c r="J98" s="46"/>
      <c r="K98" s="41"/>
      <c r="L98" s="47"/>
    </row>
    <row r="99" spans="1:24" x14ac:dyDescent="0.25">
      <c r="A99" s="338" t="s">
        <v>280</v>
      </c>
      <c r="B99" s="56" t="s">
        <v>106</v>
      </c>
      <c r="C99" s="46" t="s">
        <v>106</v>
      </c>
      <c r="D99" s="40">
        <f>D11</f>
        <v>902119.21877276327</v>
      </c>
      <c r="E99" s="40"/>
      <c r="F99" s="56" t="s">
        <v>106</v>
      </c>
      <c r="G99" s="159"/>
      <c r="H99" s="56" t="s">
        <v>106</v>
      </c>
      <c r="I99" s="72"/>
      <c r="J99" s="46">
        <f>J11+SUM($J$90:$J$91)*D99/SUM($D$103,$D$109)</f>
        <v>63968.971966716141</v>
      </c>
      <c r="K99" s="83">
        <f>J99/D99</f>
        <v>7.090966541400047E-2</v>
      </c>
    </row>
    <row r="100" spans="1:24" x14ac:dyDescent="0.25">
      <c r="A100" s="338" t="s">
        <v>287</v>
      </c>
      <c r="B100" s="56" t="s">
        <v>106</v>
      </c>
      <c r="C100" s="46" t="s">
        <v>106</v>
      </c>
      <c r="D100" s="40">
        <f>D18</f>
        <v>88744.736715924359</v>
      </c>
      <c r="E100" s="40"/>
      <c r="F100" s="56" t="s">
        <v>106</v>
      </c>
      <c r="G100" s="159"/>
      <c r="H100" s="56" t="s">
        <v>106</v>
      </c>
      <c r="I100" s="72"/>
      <c r="J100" s="46">
        <f>J18+SUM($J$90:$J$91)*D100/SUM($D$103,$D$109)</f>
        <v>6182.1343746907032</v>
      </c>
      <c r="K100" s="83">
        <f>J100/D100</f>
        <v>6.966198338589899E-2</v>
      </c>
    </row>
    <row r="101" spans="1:24" x14ac:dyDescent="0.25">
      <c r="A101" s="338" t="s">
        <v>282</v>
      </c>
      <c r="B101" s="56" t="s">
        <v>106</v>
      </c>
      <c r="C101" s="46" t="s">
        <v>106</v>
      </c>
      <c r="D101" s="40">
        <f>D25</f>
        <v>270222.86720933911</v>
      </c>
      <c r="E101" s="40"/>
      <c r="F101" s="56" t="s">
        <v>106</v>
      </c>
      <c r="G101" s="159"/>
      <c r="H101" s="56" t="s">
        <v>106</v>
      </c>
      <c r="I101" s="72"/>
      <c r="J101" s="46">
        <f>J25+SUM($J$90:$J$91)*D101/SUM($D$103,$D$109)</f>
        <v>19198.509959169431</v>
      </c>
      <c r="K101" s="83">
        <f>J101/D101</f>
        <v>7.1046947867282176E-2</v>
      </c>
    </row>
    <row r="102" spans="1:24" x14ac:dyDescent="0.25">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24" x14ac:dyDescent="0.25">
      <c r="A103" s="338" t="s">
        <v>281</v>
      </c>
      <c r="B103" s="56"/>
      <c r="C103" s="46"/>
      <c r="D103" s="40">
        <f>SUM(D99:D102)</f>
        <v>1261086.8226980267</v>
      </c>
      <c r="E103" s="40"/>
      <c r="F103" s="56"/>
      <c r="G103" s="159"/>
      <c r="H103" s="56"/>
      <c r="I103" s="72"/>
      <c r="J103" s="46">
        <f>SUM(J99:J102)</f>
        <v>89349.616300576279</v>
      </c>
      <c r="K103" s="83">
        <f>J103/D103</f>
        <v>7.085128057195747E-2</v>
      </c>
    </row>
    <row r="104" spans="1:24" ht="5.0999999999999996" customHeight="1" x14ac:dyDescent="0.25">
      <c r="A104" s="21"/>
      <c r="B104" s="56"/>
      <c r="C104" s="46"/>
      <c r="D104" s="40"/>
      <c r="E104" s="40"/>
      <c r="F104" s="56"/>
      <c r="G104" s="159"/>
      <c r="H104" s="56"/>
      <c r="I104" s="72"/>
      <c r="J104" s="46"/>
      <c r="K104" s="83"/>
    </row>
    <row r="105" spans="1:24" x14ac:dyDescent="0.25">
      <c r="A105" s="82" t="s">
        <v>392</v>
      </c>
    </row>
    <row r="106" spans="1:24" x14ac:dyDescent="0.25">
      <c r="A106" s="338" t="s">
        <v>386</v>
      </c>
      <c r="B106" s="56" t="s">
        <v>106</v>
      </c>
      <c r="C106" s="46" t="s">
        <v>106</v>
      </c>
      <c r="D106" s="40">
        <f>D52</f>
        <v>42421.799160000039</v>
      </c>
      <c r="E106" s="40"/>
      <c r="F106" s="56" t="s">
        <v>106</v>
      </c>
      <c r="G106" s="159"/>
      <c r="H106" s="56" t="s">
        <v>106</v>
      </c>
      <c r="I106" s="72"/>
      <c r="J106" s="46">
        <f>J52+SUM($J$90:$J$91)*D106/SUM($D$103,$D$109)</f>
        <v>2961.1730483626225</v>
      </c>
      <c r="K106" s="83">
        <f>J106/D106</f>
        <v>6.98030990433509E-2</v>
      </c>
    </row>
    <row r="107" spans="1:24" x14ac:dyDescent="0.25">
      <c r="A107" s="338" t="s">
        <v>393</v>
      </c>
      <c r="B107" s="56" t="s">
        <v>106</v>
      </c>
      <c r="C107" s="46" t="s">
        <v>106</v>
      </c>
      <c r="D107" s="40">
        <f>D60</f>
        <v>14201.677161068905</v>
      </c>
      <c r="E107" s="40"/>
      <c r="F107" s="56" t="s">
        <v>106</v>
      </c>
      <c r="G107" s="159"/>
      <c r="H107" s="56" t="s">
        <v>106</v>
      </c>
      <c r="I107" s="72"/>
      <c r="J107" s="46">
        <f>J60+SUM($J$90:$J$91)*D107/SUM($D$103,$D$109)</f>
        <v>1002.0425684547317</v>
      </c>
      <c r="K107" s="83">
        <f>J107/D107</f>
        <v>7.0558044454188396E-2</v>
      </c>
    </row>
    <row r="108" spans="1:24" x14ac:dyDescent="0.25">
      <c r="A108" s="338" t="s">
        <v>388</v>
      </c>
      <c r="B108" s="56" t="s">
        <v>106</v>
      </c>
      <c r="C108" s="46" t="s">
        <v>106</v>
      </c>
      <c r="D108" s="40">
        <f>D67</f>
        <v>9096.9411339446251</v>
      </c>
      <c r="E108" s="40"/>
      <c r="F108" s="56" t="s">
        <v>106</v>
      </c>
      <c r="G108" s="159"/>
      <c r="H108" s="56" t="s">
        <v>106</v>
      </c>
      <c r="I108" s="72"/>
      <c r="J108" s="46">
        <f>J67+SUM($J$90:$J$91)*D108/SUM($D$103,$D$109)</f>
        <v>578.07215046950012</v>
      </c>
      <c r="K108" s="83">
        <f>J108/D108</f>
        <v>6.3545772359948849E-2</v>
      </c>
    </row>
    <row r="109" spans="1:24" x14ac:dyDescent="0.25">
      <c r="A109" s="338" t="s">
        <v>394</v>
      </c>
      <c r="B109" s="56"/>
      <c r="C109" s="46"/>
      <c r="D109" s="40">
        <f>SUM(D106:D108)</f>
        <v>65720.417455013565</v>
      </c>
      <c r="E109" s="40"/>
      <c r="F109" s="56"/>
      <c r="G109" s="159"/>
      <c r="H109" s="56"/>
      <c r="I109" s="72"/>
      <c r="J109" s="46">
        <f>SUM(J106:J108)</f>
        <v>4541.2877672868544</v>
      </c>
      <c r="K109" s="83">
        <f>J109/D109</f>
        <v>6.9100105311951529E-2</v>
      </c>
    </row>
    <row r="110" spans="1:24" ht="5.0999999999999996" customHeight="1" x14ac:dyDescent="0.25">
      <c r="A110" s="21"/>
      <c r="B110" s="56"/>
      <c r="C110" s="46"/>
      <c r="D110" s="40"/>
      <c r="E110" s="40"/>
      <c r="F110" s="56"/>
      <c r="G110" s="159"/>
      <c r="H110" s="56"/>
      <c r="I110" s="72"/>
      <c r="J110" s="46"/>
      <c r="K110" s="83"/>
    </row>
    <row r="111" spans="1:24" x14ac:dyDescent="0.25">
      <c r="A111" s="82" t="s">
        <v>286</v>
      </c>
      <c r="B111" s="56" t="s">
        <v>106</v>
      </c>
      <c r="C111" s="46" t="s">
        <v>106</v>
      </c>
      <c r="D111" s="40">
        <f>D82</f>
        <v>1629421.5160541544</v>
      </c>
      <c r="E111" s="285" t="s">
        <v>241</v>
      </c>
      <c r="F111" s="56"/>
      <c r="G111" s="159"/>
      <c r="H111" s="56"/>
      <c r="I111" s="72"/>
      <c r="J111" s="46">
        <f>SUM(J93:J94)+J82</f>
        <v>44729.19446651898</v>
      </c>
      <c r="K111" s="83">
        <f>J111/D111</f>
        <v>2.7450965895452428E-2</v>
      </c>
      <c r="M111" s="140"/>
      <c r="N111" s="140"/>
      <c r="O111" s="140"/>
      <c r="P111" s="140"/>
      <c r="Q111" s="140"/>
      <c r="R111" s="140"/>
      <c r="S111" s="140"/>
      <c r="T111" s="140"/>
      <c r="U111" s="140"/>
      <c r="V111" s="140"/>
      <c r="W111" s="140"/>
      <c r="X111" s="140"/>
    </row>
    <row r="112" spans="1:24" hidden="1" x14ac:dyDescent="0.25">
      <c r="A112" s="341"/>
      <c r="B112" s="56"/>
      <c r="C112" s="46"/>
      <c r="D112" s="40"/>
      <c r="E112" s="40"/>
      <c r="F112" s="56"/>
      <c r="G112" s="159"/>
      <c r="H112" s="56"/>
      <c r="I112" s="72"/>
      <c r="J112" s="46"/>
      <c r="K112" s="83"/>
    </row>
    <row r="113" spans="1:11" hidden="1" x14ac:dyDescent="0.25">
      <c r="B113" s="69"/>
      <c r="C113" s="70"/>
      <c r="D113" s="37"/>
      <c r="E113" s="37"/>
      <c r="F113" s="38"/>
      <c r="G113" s="2"/>
      <c r="H113" s="4"/>
      <c r="I113" s="2"/>
      <c r="J113" s="2"/>
      <c r="K113" s="71"/>
    </row>
    <row r="114" spans="1:11" hidden="1" x14ac:dyDescent="0.25">
      <c r="A114" s="127" t="s">
        <v>191</v>
      </c>
      <c r="B114" s="339">
        <v>0</v>
      </c>
      <c r="C114" s="339">
        <v>0</v>
      </c>
      <c r="D114" s="339">
        <v>0</v>
      </c>
      <c r="E114" s="128"/>
      <c r="H114" s="126"/>
      <c r="I114" s="127"/>
      <c r="J114" s="339">
        <f>SUM(J103,J109)-J39-J74-SUM(J90:J91)</f>
        <v>7.2759576141834259E-12</v>
      </c>
    </row>
    <row r="115" spans="1:11" hidden="1" x14ac:dyDescent="0.25">
      <c r="A115" s="127"/>
      <c r="B115" s="339">
        <v>0</v>
      </c>
      <c r="C115" s="339">
        <v>0</v>
      </c>
      <c r="D115" s="339">
        <v>0</v>
      </c>
      <c r="E115" s="128"/>
      <c r="H115" s="126"/>
      <c r="I115" s="127"/>
      <c r="J115" s="339">
        <f>J111-J82-J93-J94</f>
        <v>2.6147972675971687E-12</v>
      </c>
    </row>
    <row r="116" spans="1:11" hidden="1" x14ac:dyDescent="0.25">
      <c r="B116" s="339">
        <v>0</v>
      </c>
      <c r="C116" s="339">
        <v>0</v>
      </c>
      <c r="D116" s="339">
        <v>0</v>
      </c>
      <c r="H116" s="127"/>
      <c r="I116" s="127"/>
      <c r="J116" s="339">
        <v>0</v>
      </c>
    </row>
    <row r="117" spans="1:11" hidden="1" x14ac:dyDescent="0.25">
      <c r="B117" s="339">
        <v>0</v>
      </c>
      <c r="C117" s="339">
        <v>0</v>
      </c>
      <c r="D117" s="339">
        <v>0</v>
      </c>
      <c r="H117" s="342"/>
      <c r="I117" s="342"/>
      <c r="J117" s="339">
        <v>0</v>
      </c>
    </row>
    <row r="118" spans="1:11" hidden="1" x14ac:dyDescent="0.25">
      <c r="B118" s="339"/>
      <c r="C118" s="339"/>
      <c r="D118" s="339">
        <v>0</v>
      </c>
      <c r="H118" s="342"/>
      <c r="I118" s="342"/>
      <c r="J118" s="339">
        <v>0</v>
      </c>
    </row>
    <row r="119" spans="1:11" x14ac:dyDescent="0.25">
      <c r="A119" s="141"/>
      <c r="B119" s="290"/>
      <c r="C119" s="291"/>
      <c r="D119" s="282"/>
      <c r="E119" s="37"/>
    </row>
    <row r="120" spans="1:11" x14ac:dyDescent="0.25">
      <c r="A120" s="11" t="s">
        <v>235</v>
      </c>
    </row>
    <row r="121" spans="1:11" x14ac:dyDescent="0.25">
      <c r="A121" s="25" t="s">
        <v>796</v>
      </c>
    </row>
    <row r="122" spans="1:11" x14ac:dyDescent="0.25">
      <c r="A122" s="25" t="s">
        <v>795</v>
      </c>
    </row>
    <row r="123" spans="1:11" x14ac:dyDescent="0.25">
      <c r="A123" s="25" t="s">
        <v>797</v>
      </c>
    </row>
    <row r="124" spans="1:11" x14ac:dyDescent="0.25">
      <c r="A124" s="145" t="s">
        <v>91</v>
      </c>
    </row>
    <row r="125" spans="1:11" x14ac:dyDescent="0.25">
      <c r="A125" s="145" t="s">
        <v>61</v>
      </c>
    </row>
    <row r="126" spans="1:11" x14ac:dyDescent="0.25">
      <c r="A126" s="462" t="s">
        <v>60</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37"/>
  <sheetViews>
    <sheetView zoomScale="70" workbookViewId="0"/>
  </sheetViews>
  <sheetFormatPr defaultRowHeight="13.2" x14ac:dyDescent="0.25"/>
  <cols>
    <col min="1" max="1" width="27.6640625" bestFit="1" customWidth="1"/>
    <col min="2" max="2" width="11.6640625" customWidth="1"/>
    <col min="3" max="3" width="2.6640625" customWidth="1"/>
    <col min="4" max="4" width="10.44140625" customWidth="1"/>
    <col min="5" max="5" width="2.6640625" customWidth="1"/>
    <col min="6" max="6" width="11.6640625" customWidth="1"/>
    <col min="7" max="7" width="2.6640625" customWidth="1"/>
    <col min="8" max="8" width="11.6640625" customWidth="1"/>
    <col min="9" max="9" width="2.6640625" customWidth="1"/>
    <col min="10" max="11" width="11.6640625" customWidth="1"/>
  </cols>
  <sheetData>
    <row r="1" spans="1:11" ht="15.6" x14ac:dyDescent="0.3">
      <c r="A1" s="157" t="s">
        <v>20</v>
      </c>
    </row>
    <row r="2" spans="1:11" ht="15.6" x14ac:dyDescent="0.3">
      <c r="A2" s="158" t="s">
        <v>787</v>
      </c>
    </row>
    <row r="3" spans="1:11" ht="26.4" x14ac:dyDescent="0.25">
      <c r="B3" s="168" t="s">
        <v>258</v>
      </c>
      <c r="C3" s="168"/>
      <c r="D3" s="183" t="s">
        <v>207</v>
      </c>
      <c r="E3" s="183"/>
      <c r="F3" s="146" t="s">
        <v>217</v>
      </c>
      <c r="G3" s="161"/>
      <c r="H3" s="160" t="s">
        <v>246</v>
      </c>
      <c r="I3" s="159"/>
      <c r="J3" s="42" t="s">
        <v>218</v>
      </c>
      <c r="K3" s="41" t="s">
        <v>133</v>
      </c>
    </row>
    <row r="5" spans="1:11" x14ac:dyDescent="0.25">
      <c r="A5" s="25" t="s">
        <v>274</v>
      </c>
    </row>
    <row r="6" spans="1:11" x14ac:dyDescent="0.25">
      <c r="A6" s="28" t="s">
        <v>219</v>
      </c>
      <c r="B6" s="6">
        <v>6053.1606240935853</v>
      </c>
      <c r="C6" s="6"/>
      <c r="D6" s="22">
        <v>5.6065143386947618E-2</v>
      </c>
      <c r="E6" s="306" t="s">
        <v>236</v>
      </c>
      <c r="F6" s="165">
        <f>B6*D6</f>
        <v>339.3713183340322</v>
      </c>
      <c r="H6" s="166">
        <v>1.302844966601308</v>
      </c>
      <c r="J6" s="165">
        <f>H6*F6</f>
        <v>442.14821390034405</v>
      </c>
      <c r="K6" s="22">
        <f>J6/B6</f>
        <v>7.3044189863465322E-2</v>
      </c>
    </row>
    <row r="7" spans="1:11" x14ac:dyDescent="0.25">
      <c r="A7" s="89" t="s">
        <v>381</v>
      </c>
      <c r="B7" s="6">
        <f>B6</f>
        <v>6053.1606240935853</v>
      </c>
      <c r="C7" s="6"/>
      <c r="D7" s="22">
        <v>0.19643961634924378</v>
      </c>
      <c r="E7" s="306" t="s">
        <v>239</v>
      </c>
      <c r="F7" s="165">
        <f>B7*D7</f>
        <v>1189.0805506972929</v>
      </c>
      <c r="H7" s="336">
        <v>1.6624309879114112</v>
      </c>
      <c r="J7" s="165">
        <f>H7*F7</f>
        <v>1976.7643546019456</v>
      </c>
      <c r="K7" s="22">
        <f>J7/B7</f>
        <v>0.32656730547241192</v>
      </c>
    </row>
    <row r="8" spans="1:11" x14ac:dyDescent="0.25">
      <c r="A8" s="89" t="s">
        <v>382</v>
      </c>
      <c r="B8" s="6">
        <f>B7</f>
        <v>6053.1606240935853</v>
      </c>
      <c r="C8" s="6"/>
      <c r="D8" s="22">
        <v>1.9730568305054378E-2</v>
      </c>
      <c r="E8" s="306" t="s">
        <v>240</v>
      </c>
      <c r="F8" s="165">
        <f>B8*D8</f>
        <v>119.43229915514407</v>
      </c>
      <c r="H8" s="29">
        <v>1.6624309879114112</v>
      </c>
      <c r="J8" s="165">
        <f>H8*F8</f>
        <v>198.54795507301736</v>
      </c>
      <c r="K8" s="22">
        <f>J8/B8</f>
        <v>3.2800708159425131E-2</v>
      </c>
    </row>
    <row r="9" spans="1:11" x14ac:dyDescent="0.25">
      <c r="A9" s="21" t="s">
        <v>102</v>
      </c>
      <c r="B9" s="6">
        <f>B8</f>
        <v>6053.1606240935853</v>
      </c>
      <c r="C9" s="6"/>
      <c r="F9" s="165">
        <f>SUM(F6:F8)</f>
        <v>1647.8841681864692</v>
      </c>
      <c r="J9" s="165">
        <f>SUM(J6:J8)</f>
        <v>2617.460523575307</v>
      </c>
      <c r="K9" s="22">
        <f>J9/B9</f>
        <v>0.43241220349530241</v>
      </c>
    </row>
    <row r="11" spans="1:11" x14ac:dyDescent="0.25">
      <c r="A11" s="25" t="s">
        <v>278</v>
      </c>
    </row>
    <row r="12" spans="1:11" x14ac:dyDescent="0.25">
      <c r="A12" s="28" t="s">
        <v>219</v>
      </c>
      <c r="B12" s="6">
        <v>9981.4420593863179</v>
      </c>
      <c r="C12" s="6"/>
      <c r="D12" s="22">
        <v>5.6065143386947618E-2</v>
      </c>
      <c r="E12" s="306" t="s">
        <v>236</v>
      </c>
      <c r="F12" s="165">
        <f>B12*D12</f>
        <v>559.61098026800357</v>
      </c>
      <c r="H12" s="166">
        <v>1.302844966601308</v>
      </c>
      <c r="J12" s="165">
        <f>H12*F12</f>
        <v>729.08634889699238</v>
      </c>
      <c r="K12" s="22">
        <f>J12/B12</f>
        <v>7.3044189863465309E-2</v>
      </c>
    </row>
    <row r="13" spans="1:11" x14ac:dyDescent="0.25">
      <c r="A13" s="89" t="s">
        <v>381</v>
      </c>
      <c r="B13" s="6">
        <f>B12</f>
        <v>9981.4420593863179</v>
      </c>
      <c r="C13" s="6"/>
      <c r="D13" s="22">
        <v>0.19643961634924378</v>
      </c>
      <c r="E13" s="306" t="s">
        <v>239</v>
      </c>
      <c r="F13" s="165">
        <f>B13*D13</f>
        <v>1960.750648758054</v>
      </c>
      <c r="H13" s="336">
        <v>1.6624309879114112</v>
      </c>
      <c r="J13" s="165">
        <f>H13*F13</f>
        <v>3259.612638062792</v>
      </c>
      <c r="K13" s="22">
        <f>J13/B13</f>
        <v>0.32656730547241192</v>
      </c>
    </row>
    <row r="14" spans="1:11" x14ac:dyDescent="0.25">
      <c r="A14" s="89" t="s">
        <v>382</v>
      </c>
      <c r="B14" s="6">
        <f>B13</f>
        <v>9981.4420593863179</v>
      </c>
      <c r="C14" s="6"/>
      <c r="D14" s="22">
        <v>1.9730568305054378E-2</v>
      </c>
      <c r="E14" s="306" t="s">
        <v>240</v>
      </c>
      <c r="F14" s="165">
        <f>B14*D14</f>
        <v>196.93952433566437</v>
      </c>
      <c r="H14" s="29">
        <v>1.6624309879114112</v>
      </c>
      <c r="J14" s="165">
        <f>H14*F14</f>
        <v>327.39836800014194</v>
      </c>
      <c r="K14" s="22">
        <f>J14/B14</f>
        <v>3.2800708159425131E-2</v>
      </c>
    </row>
    <row r="15" spans="1:11" x14ac:dyDescent="0.25">
      <c r="A15" s="21" t="s">
        <v>102</v>
      </c>
      <c r="B15" s="6">
        <f>B14</f>
        <v>9981.4420593863179</v>
      </c>
      <c r="C15" s="6"/>
      <c r="F15" s="165">
        <f>SUM(F12:F14)</f>
        <v>2717.3011533617218</v>
      </c>
      <c r="J15" s="165">
        <f>SUM(J12:J14)</f>
        <v>4316.0973549599266</v>
      </c>
      <c r="K15" s="22">
        <f>J15/B15</f>
        <v>0.43241220349530241</v>
      </c>
    </row>
    <row r="17" spans="1:14" x14ac:dyDescent="0.25">
      <c r="A17" s="47" t="s">
        <v>279</v>
      </c>
      <c r="N17" s="12"/>
    </row>
    <row r="18" spans="1:14" x14ac:dyDescent="0.25">
      <c r="A18" s="28" t="s">
        <v>219</v>
      </c>
      <c r="B18" s="6">
        <v>4674.6995744302358</v>
      </c>
      <c r="C18" s="6"/>
      <c r="D18" s="22">
        <v>5.1996798644497751E-2</v>
      </c>
      <c r="E18" s="306" t="s">
        <v>236</v>
      </c>
      <c r="F18" s="165">
        <f>B18*D18</f>
        <v>243.06941249516831</v>
      </c>
      <c r="H18" s="166">
        <v>1.302844966601308</v>
      </c>
      <c r="J18" s="165">
        <f>H18*F18</f>
        <v>316.68176060406711</v>
      </c>
      <c r="K18" s="22">
        <f>J18/B18</f>
        <v>6.7743767393365614E-2</v>
      </c>
    </row>
    <row r="19" spans="1:14" x14ac:dyDescent="0.25">
      <c r="A19" s="89" t="s">
        <v>381</v>
      </c>
      <c r="B19" s="6">
        <f>B18</f>
        <v>4674.6995744302358</v>
      </c>
      <c r="C19" s="6"/>
      <c r="D19" s="22">
        <v>7.9673250215249097E-2</v>
      </c>
      <c r="E19" s="306" t="s">
        <v>239</v>
      </c>
      <c r="F19" s="165">
        <f>B19*D19</f>
        <v>372.44850887469863</v>
      </c>
      <c r="H19" s="336">
        <v>1.6624309879114112</v>
      </c>
      <c r="J19" s="165">
        <f>H19*F19</f>
        <v>619.16994255469729</v>
      </c>
      <c r="K19" s="22">
        <f>J19/B19</f>
        <v>0.13245128006544962</v>
      </c>
      <c r="N19" s="13"/>
    </row>
    <row r="20" spans="1:14" x14ac:dyDescent="0.25">
      <c r="A20" s="89" t="s">
        <v>382</v>
      </c>
      <c r="B20" s="6">
        <f>B19</f>
        <v>4674.6995744302358</v>
      </c>
      <c r="C20" s="6"/>
      <c r="D20" s="22">
        <v>1.9730568305054381E-2</v>
      </c>
      <c r="E20" s="306" t="s">
        <v>240</v>
      </c>
      <c r="F20" s="165">
        <f>B20*D20</f>
        <v>92.234479258904415</v>
      </c>
      <c r="H20" s="29">
        <v>1.6624309879114112</v>
      </c>
      <c r="J20" s="165">
        <f>H20*F20</f>
        <v>153.33345647387503</v>
      </c>
      <c r="K20" s="22">
        <f>J20/B20</f>
        <v>3.2800708159425131E-2</v>
      </c>
    </row>
    <row r="21" spans="1:14" x14ac:dyDescent="0.25">
      <c r="A21" s="21" t="s">
        <v>102</v>
      </c>
      <c r="B21" s="6">
        <f>B20</f>
        <v>4674.6995744302358</v>
      </c>
      <c r="C21" s="6"/>
      <c r="F21" s="165">
        <f>SUM(F18:F20)</f>
        <v>707.7524006287714</v>
      </c>
      <c r="J21" s="165">
        <f>SUM(J18:J20)</f>
        <v>1089.1851596326394</v>
      </c>
      <c r="K21" s="22">
        <f>J21/B21</f>
        <v>0.23299575561824035</v>
      </c>
    </row>
    <row r="23" spans="1:14" x14ac:dyDescent="0.25">
      <c r="A23" s="47" t="s">
        <v>220</v>
      </c>
    </row>
    <row r="24" spans="1:14" x14ac:dyDescent="0.25">
      <c r="A24" s="28" t="s">
        <v>219</v>
      </c>
      <c r="B24" s="6">
        <f>B6+B12+B18</f>
        <v>20709.302257910138</v>
      </c>
      <c r="C24" s="6"/>
      <c r="D24" s="22">
        <f>F24/B24</f>
        <v>5.5146798133239153E-2</v>
      </c>
      <c r="E24" s="22"/>
      <c r="F24" s="165">
        <f>F6+F12+F18</f>
        <v>1142.0517110972041</v>
      </c>
      <c r="J24" s="165">
        <f>J6+J12+J18</f>
        <v>1487.9163234014036</v>
      </c>
      <c r="K24" s="22">
        <f>J24/B24</f>
        <v>7.1847728372069042E-2</v>
      </c>
    </row>
    <row r="25" spans="1:14" x14ac:dyDescent="0.25">
      <c r="A25" s="89" t="s">
        <v>381</v>
      </c>
      <c r="B25" s="6">
        <f>B7+B13+B19</f>
        <v>20709.302257910138</v>
      </c>
      <c r="C25" s="6"/>
      <c r="D25" s="22">
        <f>F25/B25</f>
        <v>0.17008200780809374</v>
      </c>
      <c r="E25" s="22"/>
      <c r="F25" s="165">
        <f>F7+F13+F19</f>
        <v>3522.2797083300457</v>
      </c>
      <c r="J25" s="165">
        <f>J7+J13+J19</f>
        <v>5855.546935219435</v>
      </c>
      <c r="K25" s="22">
        <f>J25/B25</f>
        <v>0.28274960026636564</v>
      </c>
    </row>
    <row r="26" spans="1:14" x14ac:dyDescent="0.25">
      <c r="A26" s="89" t="s">
        <v>382</v>
      </c>
      <c r="B26" s="6">
        <f>B8+B14+B20</f>
        <v>20709.302257910138</v>
      </c>
      <c r="C26" s="6"/>
      <c r="D26" s="22">
        <f>F26/B26</f>
        <v>1.9730568305054378E-2</v>
      </c>
      <c r="E26" s="22"/>
      <c r="F26" s="165">
        <f>F8+F14+F20</f>
        <v>408.60630274971282</v>
      </c>
      <c r="J26" s="165">
        <f>J8+J14+J20</f>
        <v>679.27977954703431</v>
      </c>
      <c r="K26" s="22">
        <f>J26/B26</f>
        <v>3.2800708159425131E-2</v>
      </c>
    </row>
    <row r="27" spans="1:14" x14ac:dyDescent="0.25">
      <c r="A27" s="21" t="s">
        <v>102</v>
      </c>
      <c r="B27" s="6">
        <f>B9+B15+B21</f>
        <v>20709.302257910138</v>
      </c>
      <c r="C27" s="6"/>
      <c r="D27" s="22">
        <f>F27/B27</f>
        <v>0.24495937424638728</v>
      </c>
      <c r="E27" s="22"/>
      <c r="F27" s="165">
        <f>F9+F15+F21</f>
        <v>5072.9377221769628</v>
      </c>
      <c r="J27" s="165">
        <f>J9+J15+J21</f>
        <v>8022.7430381678732</v>
      </c>
      <c r="K27" s="22">
        <f>J27/B27</f>
        <v>0.38739803679785983</v>
      </c>
    </row>
    <row r="28" spans="1:14" hidden="1" x14ac:dyDescent="0.25">
      <c r="A28" s="21"/>
      <c r="B28" s="6"/>
      <c r="C28" s="6"/>
      <c r="D28" s="22"/>
      <c r="E28" s="22"/>
      <c r="F28" s="165"/>
      <c r="J28" s="165"/>
      <c r="K28" s="22"/>
    </row>
    <row r="29" spans="1:14" hidden="1" x14ac:dyDescent="0.25">
      <c r="A29" s="21" t="s">
        <v>191</v>
      </c>
      <c r="B29" s="133">
        <v>0</v>
      </c>
      <c r="C29" s="6"/>
      <c r="D29" s="22"/>
      <c r="E29" s="22"/>
      <c r="F29" s="165"/>
      <c r="J29" s="133">
        <v>0</v>
      </c>
      <c r="K29" s="22"/>
    </row>
    <row r="30" spans="1:14" hidden="1" x14ac:dyDescent="0.25">
      <c r="A30" s="21"/>
      <c r="B30" s="133">
        <v>0</v>
      </c>
      <c r="C30" s="6"/>
      <c r="D30" s="22"/>
      <c r="E30" s="22"/>
      <c r="F30" s="165"/>
      <c r="J30" s="133">
        <v>0</v>
      </c>
      <c r="K30" s="22"/>
    </row>
    <row r="31" spans="1:14" hidden="1" x14ac:dyDescent="0.25">
      <c r="A31" s="21"/>
      <c r="B31" s="133">
        <v>0</v>
      </c>
      <c r="C31" s="6"/>
      <c r="D31" s="22"/>
      <c r="E31" s="22"/>
      <c r="F31" s="165"/>
      <c r="J31" s="133">
        <v>0</v>
      </c>
      <c r="K31" s="22"/>
    </row>
    <row r="32" spans="1:14" x14ac:dyDescent="0.25">
      <c r="A32" s="283"/>
      <c r="B32" s="283"/>
      <c r="C32" s="283"/>
      <c r="D32" s="283"/>
      <c r="E32" s="283"/>
      <c r="F32" s="283"/>
    </row>
    <row r="33" spans="1:11" x14ac:dyDescent="0.25">
      <c r="A33" s="47" t="s">
        <v>235</v>
      </c>
      <c r="K33" s="22"/>
    </row>
    <row r="34" spans="1:11" x14ac:dyDescent="0.25">
      <c r="A34" s="25" t="s">
        <v>796</v>
      </c>
    </row>
    <row r="35" spans="1:11" x14ac:dyDescent="0.25">
      <c r="A35" s="25" t="s">
        <v>795</v>
      </c>
    </row>
    <row r="36" spans="1:11" x14ac:dyDescent="0.25">
      <c r="A36" s="12" t="s">
        <v>798</v>
      </c>
    </row>
    <row r="37" spans="1:11" x14ac:dyDescent="0.25">
      <c r="A37" s="12" t="s">
        <v>799</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6">
    <pageSetUpPr fitToPage="1"/>
  </sheetPr>
  <dimension ref="A1:S93"/>
  <sheetViews>
    <sheetView zoomScale="70" workbookViewId="0"/>
  </sheetViews>
  <sheetFormatPr defaultColWidth="9.109375" defaultRowHeight="13.2" x14ac:dyDescent="0.25"/>
  <cols>
    <col min="1" max="1" width="25.88671875" style="11" customWidth="1"/>
    <col min="2" max="5" width="12.6640625" style="11" customWidth="1"/>
    <col min="6" max="6" width="2.6640625" style="11" customWidth="1"/>
    <col min="7" max="7" width="12.6640625" style="11" customWidth="1"/>
    <col min="8" max="8" width="2.6640625" style="11" customWidth="1"/>
    <col min="9" max="10" width="12.6640625" style="11" customWidth="1"/>
    <col min="11" max="16384" width="9.109375" style="11"/>
  </cols>
  <sheetData>
    <row r="1" spans="1:19" ht="15.6" x14ac:dyDescent="0.3">
      <c r="A1" s="158" t="s">
        <v>558</v>
      </c>
    </row>
    <row r="2" spans="1:19" ht="15.6" x14ac:dyDescent="0.3">
      <c r="A2" s="158" t="s">
        <v>787</v>
      </c>
      <c r="B2" s="36"/>
      <c r="C2" s="36"/>
      <c r="D2" s="36"/>
      <c r="E2" s="36"/>
      <c r="F2" s="36"/>
      <c r="G2" s="36"/>
    </row>
    <row r="3" spans="1:19" s="4" customFormat="1" ht="26.4" x14ac:dyDescent="0.25">
      <c r="A3" s="11"/>
      <c r="B3" s="189" t="s">
        <v>248</v>
      </c>
      <c r="C3" s="189" t="s">
        <v>249</v>
      </c>
      <c r="D3" s="168" t="s">
        <v>250</v>
      </c>
      <c r="E3" s="169" t="s">
        <v>207</v>
      </c>
      <c r="F3" s="23"/>
      <c r="G3" s="160" t="s">
        <v>246</v>
      </c>
      <c r="H3" s="159"/>
      <c r="I3" s="160" t="s">
        <v>218</v>
      </c>
      <c r="J3" s="41" t="s">
        <v>133</v>
      </c>
    </row>
    <row r="4" spans="1:19" x14ac:dyDescent="0.25">
      <c r="B4" s="48"/>
      <c r="C4" s="48"/>
      <c r="D4" s="48"/>
      <c r="E4" s="48"/>
      <c r="F4" s="48"/>
      <c r="G4" s="23"/>
      <c r="H4" s="23"/>
      <c r="I4" s="196"/>
      <c r="J4" s="48"/>
    </row>
    <row r="5" spans="1:19" x14ac:dyDescent="0.25">
      <c r="A5" s="49" t="s">
        <v>439</v>
      </c>
    </row>
    <row r="6" spans="1:19" x14ac:dyDescent="0.25">
      <c r="A6" s="81" t="s">
        <v>483</v>
      </c>
      <c r="B6" s="44">
        <v>3.9933730649597097</v>
      </c>
      <c r="C6" s="46">
        <v>190.75630042159742</v>
      </c>
      <c r="D6" s="53">
        <v>42421.799160000039</v>
      </c>
      <c r="E6" s="83">
        <f t="shared" ref="E6:E12" si="0">IF(ISERROR(C6/D6),"n/a",C6/D6)</f>
        <v>4.4966574779662701E-3</v>
      </c>
      <c r="G6" s="54">
        <v>1.5249384833271007</v>
      </c>
      <c r="I6" s="42">
        <f t="shared" ref="I6:I11" si="1">C6*G6</f>
        <v>290.89162344999954</v>
      </c>
      <c r="J6" s="92">
        <f t="shared" ref="J6:J12" si="2">IF(ISERROR(I6/D6),"n/a",I6/D6)</f>
        <v>6.8571260344913497E-3</v>
      </c>
    </row>
    <row r="7" spans="1:19" x14ac:dyDescent="0.25">
      <c r="A7" s="81" t="s">
        <v>484</v>
      </c>
      <c r="B7" s="44">
        <v>1.336873875583781</v>
      </c>
      <c r="C7" s="46">
        <v>63.860077805983266</v>
      </c>
      <c r="D7" s="53">
        <v>14201.677161068903</v>
      </c>
      <c r="E7" s="83">
        <f t="shared" si="0"/>
        <v>4.4966574779662701E-3</v>
      </c>
      <c r="G7" s="54">
        <v>1.5249384833271007</v>
      </c>
      <c r="I7" s="42">
        <f t="shared" si="1"/>
        <v>97.382690194606766</v>
      </c>
      <c r="J7" s="92">
        <f t="shared" si="2"/>
        <v>6.8571260344913489E-3</v>
      </c>
    </row>
    <row r="8" spans="1:19" x14ac:dyDescent="0.25">
      <c r="A8" s="81" t="s">
        <v>485</v>
      </c>
      <c r="B8" s="44">
        <v>0.85633991054467262</v>
      </c>
      <c r="C8" s="46">
        <v>40.905828376571051</v>
      </c>
      <c r="D8" s="53">
        <v>9096.9411339446251</v>
      </c>
      <c r="E8" s="83">
        <f t="shared" si="0"/>
        <v>4.4966574779662693E-3</v>
      </c>
      <c r="G8" s="54">
        <v>1.5249384833271007</v>
      </c>
      <c r="I8" s="42">
        <f t="shared" si="1"/>
        <v>62.378871883806937</v>
      </c>
      <c r="J8" s="92">
        <f t="shared" si="2"/>
        <v>6.857126034491348E-3</v>
      </c>
    </row>
    <row r="9" spans="1:19" x14ac:dyDescent="0.25">
      <c r="A9" s="81" t="s">
        <v>486</v>
      </c>
      <c r="B9" s="44">
        <v>101.56957102910712</v>
      </c>
      <c r="C9" s="46">
        <v>4851.7970371787969</v>
      </c>
      <c r="D9" s="53">
        <v>902119.21877276339</v>
      </c>
      <c r="E9" s="83">
        <f t="shared" si="0"/>
        <v>5.3782215656364655E-3</v>
      </c>
      <c r="G9" s="54">
        <v>1.5249384833271007</v>
      </c>
      <c r="I9" s="42">
        <f t="shared" si="1"/>
        <v>7398.6920152863549</v>
      </c>
      <c r="J9" s="92">
        <f t="shared" si="2"/>
        <v>8.2014570372987775E-3</v>
      </c>
      <c r="N9" s="140"/>
      <c r="O9" s="140"/>
      <c r="P9" s="140"/>
      <c r="Q9" s="140"/>
      <c r="R9" s="140"/>
      <c r="S9" s="140"/>
    </row>
    <row r="10" spans="1:19" x14ac:dyDescent="0.25">
      <c r="A10" s="81" t="s">
        <v>440</v>
      </c>
      <c r="B10" s="44">
        <v>8.3539795170326521</v>
      </c>
      <c r="C10" s="46">
        <v>399.05468398380896</v>
      </c>
      <c r="D10" s="53">
        <v>88744.736715924359</v>
      </c>
      <c r="E10" s="83">
        <f t="shared" si="0"/>
        <v>4.4966574779662684E-3</v>
      </c>
      <c r="G10" s="54">
        <v>1.5249384833271007</v>
      </c>
      <c r="I10" s="42">
        <f t="shared" si="1"/>
        <v>608.53384455884509</v>
      </c>
      <c r="J10" s="92">
        <f t="shared" si="2"/>
        <v>6.8571260344913471E-3</v>
      </c>
    </row>
    <row r="11" spans="1:19" x14ac:dyDescent="0.25">
      <c r="A11" s="81" t="s">
        <v>441</v>
      </c>
      <c r="B11" s="44">
        <v>25.43741050161433</v>
      </c>
      <c r="C11" s="46">
        <v>1215.0996765543609</v>
      </c>
      <c r="D11" s="53">
        <v>270222.86720933911</v>
      </c>
      <c r="E11" s="83">
        <f t="shared" si="0"/>
        <v>4.4966574779662693E-3</v>
      </c>
      <c r="G11" s="54">
        <v>1.5249384833271007</v>
      </c>
      <c r="I11" s="42">
        <f t="shared" si="1"/>
        <v>1852.9522578560577</v>
      </c>
      <c r="J11" s="92">
        <f t="shared" si="2"/>
        <v>6.8571260344913489E-3</v>
      </c>
    </row>
    <row r="12" spans="1:19" x14ac:dyDescent="0.25">
      <c r="A12" s="81" t="s">
        <v>444</v>
      </c>
      <c r="B12" s="44">
        <f>SUM(B6:B11)</f>
        <v>141.54754789884228</v>
      </c>
      <c r="C12" s="46">
        <f>SUM(C6:C11)</f>
        <v>6761.4736043211178</v>
      </c>
      <c r="D12" s="53">
        <f>SUM(D6:D11)</f>
        <v>1326807.2401530405</v>
      </c>
      <c r="E12" s="83">
        <f t="shared" si="0"/>
        <v>5.0960481671333173E-3</v>
      </c>
      <c r="I12" s="52">
        <f>SUM(I6:I11)</f>
        <v>10310.83130322967</v>
      </c>
      <c r="J12" s="92">
        <f t="shared" si="2"/>
        <v>7.7711599629501325E-3</v>
      </c>
    </row>
    <row r="13" spans="1:19" x14ac:dyDescent="0.25">
      <c r="B13" s="44"/>
      <c r="C13" s="46"/>
      <c r="D13" s="53"/>
    </row>
    <row r="14" spans="1:19" x14ac:dyDescent="0.25">
      <c r="A14" s="49" t="s">
        <v>442</v>
      </c>
      <c r="B14" s="44"/>
      <c r="C14" s="46"/>
      <c r="D14" s="53"/>
    </row>
    <row r="15" spans="1:19" x14ac:dyDescent="0.25">
      <c r="A15" s="81" t="s">
        <v>276</v>
      </c>
      <c r="B15" s="44">
        <v>52.313552135439096</v>
      </c>
      <c r="C15" s="46">
        <v>2498.9249701791632</v>
      </c>
      <c r="D15" s="53">
        <v>36668.552573314963</v>
      </c>
      <c r="E15" s="83">
        <f t="shared" ref="E15:E21" si="3">IF(ISERROR(C15/D15),"n/a",C15/D15)</f>
        <v>6.8148994023770698E-2</v>
      </c>
      <c r="G15" s="54">
        <v>1.5249384833271007</v>
      </c>
      <c r="I15" s="42">
        <f t="shared" ref="I15:I20" si="4">C15*G15</f>
        <v>3810.7068539732336</v>
      </c>
      <c r="J15" s="92">
        <f t="shared" ref="J15:J21" si="5">IF(ISERROR(I15/D15),"n/a",I15/D15)</f>
        <v>0.10392302358687655</v>
      </c>
    </row>
    <row r="16" spans="1:19" x14ac:dyDescent="0.25">
      <c r="A16" s="81" t="s">
        <v>280</v>
      </c>
      <c r="B16" s="44">
        <v>30.192982796815087</v>
      </c>
      <c r="C16" s="46">
        <v>1442.2648731596753</v>
      </c>
      <c r="D16" s="53">
        <v>16199.633586818558</v>
      </c>
      <c r="E16" s="83">
        <f t="shared" si="3"/>
        <v>8.9030709579334469E-2</v>
      </c>
      <c r="G16" s="54">
        <v>1.5249384833271007</v>
      </c>
      <c r="I16" s="42">
        <f t="shared" si="4"/>
        <v>2199.3652082320687</v>
      </c>
      <c r="J16" s="92">
        <f t="shared" si="5"/>
        <v>0.13576635523544589</v>
      </c>
    </row>
    <row r="17" spans="1:10" x14ac:dyDescent="0.25">
      <c r="A17" s="81" t="s">
        <v>440</v>
      </c>
      <c r="B17" s="44">
        <v>0</v>
      </c>
      <c r="C17" s="46">
        <v>0</v>
      </c>
      <c r="D17" s="53">
        <v>0</v>
      </c>
      <c r="E17" s="83" t="str">
        <f t="shared" si="3"/>
        <v>n/a</v>
      </c>
      <c r="G17" s="54">
        <v>1.5249384833271007</v>
      </c>
      <c r="I17" s="42">
        <f t="shared" si="4"/>
        <v>0</v>
      </c>
      <c r="J17" s="92" t="str">
        <f t="shared" si="5"/>
        <v>n/a</v>
      </c>
    </row>
    <row r="18" spans="1:10" x14ac:dyDescent="0.25">
      <c r="A18" s="81" t="s">
        <v>441</v>
      </c>
      <c r="B18" s="44">
        <v>0</v>
      </c>
      <c r="C18" s="46">
        <v>0</v>
      </c>
      <c r="D18" s="53">
        <v>0</v>
      </c>
      <c r="E18" s="83" t="str">
        <f t="shared" si="3"/>
        <v>n/a</v>
      </c>
      <c r="G18" s="54">
        <v>1.5249384833271007</v>
      </c>
      <c r="I18" s="42">
        <f t="shared" si="4"/>
        <v>0</v>
      </c>
      <c r="J18" s="92" t="str">
        <f t="shared" si="5"/>
        <v>n/a</v>
      </c>
    </row>
    <row r="19" spans="1:10" x14ac:dyDescent="0.25">
      <c r="A19" s="81" t="s">
        <v>443</v>
      </c>
      <c r="B19" s="44">
        <v>0.19624810823898714</v>
      </c>
      <c r="C19" s="46">
        <v>9.3744216940032086</v>
      </c>
      <c r="D19" s="53">
        <v>314.6682594766458</v>
      </c>
      <c r="E19" s="83">
        <f t="shared" si="3"/>
        <v>2.9791443565343023E-2</v>
      </c>
      <c r="G19" s="54">
        <v>1.5249384833271007</v>
      </c>
      <c r="I19" s="42">
        <f t="shared" si="4"/>
        <v>14.295416400121923</v>
      </c>
      <c r="J19" s="92">
        <f t="shared" si="5"/>
        <v>4.5430118766659103E-2</v>
      </c>
    </row>
    <row r="20" spans="1:10" x14ac:dyDescent="0.25">
      <c r="A20" s="81" t="s">
        <v>230</v>
      </c>
      <c r="B20" s="44">
        <v>461.19092074041106</v>
      </c>
      <c r="C20" s="46">
        <v>20386.714055869506</v>
      </c>
      <c r="D20" s="53">
        <v>1824142.1566415115</v>
      </c>
      <c r="E20" s="83">
        <f t="shared" si="3"/>
        <v>1.1176055540213028E-2</v>
      </c>
      <c r="G20" s="54">
        <v>1.5249384833271007</v>
      </c>
      <c r="I20" s="42">
        <f t="shared" si="4"/>
        <v>31088.484812380932</v>
      </c>
      <c r="J20" s="92">
        <f t="shared" si="5"/>
        <v>1.7042797185071897E-2</v>
      </c>
    </row>
    <row r="21" spans="1:10" x14ac:dyDescent="0.25">
      <c r="A21" s="81" t="s">
        <v>445</v>
      </c>
      <c r="B21" s="44">
        <f>SUM(B15:B20)</f>
        <v>543.89370378090427</v>
      </c>
      <c r="C21" s="46">
        <f>SUM(C15:C20)</f>
        <v>24337.278320902347</v>
      </c>
      <c r="D21" s="53">
        <f>SUM(D15:D20)</f>
        <v>1877325.0110611217</v>
      </c>
      <c r="E21" s="83">
        <f t="shared" si="3"/>
        <v>1.2963806574518587E-2</v>
      </c>
      <c r="I21" s="52">
        <f>SUM(I15:I20)</f>
        <v>37112.852290986353</v>
      </c>
      <c r="J21" s="92">
        <f t="shared" si="5"/>
        <v>1.976900753589227E-2</v>
      </c>
    </row>
    <row r="22" spans="1:10" x14ac:dyDescent="0.25">
      <c r="B22" s="44"/>
      <c r="C22" s="46"/>
      <c r="D22" s="53"/>
    </row>
    <row r="23" spans="1:10" x14ac:dyDescent="0.25">
      <c r="A23" s="15" t="s">
        <v>446</v>
      </c>
      <c r="B23" s="44"/>
      <c r="C23" s="46"/>
      <c r="D23" s="53"/>
    </row>
    <row r="24" spans="1:10" x14ac:dyDescent="0.25">
      <c r="A24" s="81" t="s">
        <v>276</v>
      </c>
      <c r="B24" s="44">
        <v>15.06582284255393</v>
      </c>
      <c r="C24" s="46">
        <v>929.01753022452044</v>
      </c>
      <c r="D24" s="53">
        <v>3060.9284964653584</v>
      </c>
      <c r="E24" s="83">
        <f t="shared" ref="E24:E30" si="6">IF(ISERROR(C24/D24),"n/a",C24/D24)</f>
        <v>0.30350840645160898</v>
      </c>
      <c r="G24" s="54">
        <v>1.5249384833271007</v>
      </c>
      <c r="I24" s="42">
        <f t="shared" ref="I24:I29" si="7">C24*G24</f>
        <v>1416.6945835248691</v>
      </c>
      <c r="J24" s="92">
        <f t="shared" ref="J24:J30" si="8">IF(ISERROR(I24/D24),"n/a",I24/D24)</f>
        <v>0.46283164901134188</v>
      </c>
    </row>
    <row r="25" spans="1:10" x14ac:dyDescent="0.25">
      <c r="A25" s="81" t="s">
        <v>280</v>
      </c>
      <c r="B25" s="44">
        <v>137.31185289260483</v>
      </c>
      <c r="C25" s="46">
        <v>10330.848976929499</v>
      </c>
      <c r="D25" s="53">
        <v>30278.152459433248</v>
      </c>
      <c r="E25" s="83">
        <f t="shared" si="6"/>
        <v>0.34119812927062837</v>
      </c>
      <c r="G25" s="54">
        <v>1.5249384833271007</v>
      </c>
      <c r="I25" s="42">
        <f t="shared" si="7"/>
        <v>15753.909170360201</v>
      </c>
      <c r="J25" s="92">
        <f t="shared" si="8"/>
        <v>0.52030615776399602</v>
      </c>
    </row>
    <row r="26" spans="1:10" x14ac:dyDescent="0.25">
      <c r="A26" s="81" t="s">
        <v>440</v>
      </c>
      <c r="B26" s="44">
        <v>43.249528982982106</v>
      </c>
      <c r="C26" s="46">
        <v>2535.954549105732</v>
      </c>
      <c r="D26" s="53">
        <v>7949.7352547805231</v>
      </c>
      <c r="E26" s="83">
        <f t="shared" si="6"/>
        <v>0.31899861666220292</v>
      </c>
      <c r="G26" s="54">
        <v>1.5249384833271007</v>
      </c>
      <c r="I26" s="42">
        <f t="shared" si="7"/>
        <v>3867.1746838997565</v>
      </c>
      <c r="J26" s="92">
        <f t="shared" si="8"/>
        <v>0.4864532666763029</v>
      </c>
    </row>
    <row r="27" spans="1:10" x14ac:dyDescent="0.25">
      <c r="A27" s="81" t="s">
        <v>441</v>
      </c>
      <c r="B27" s="44">
        <v>80.366235796631855</v>
      </c>
      <c r="C27" s="46">
        <v>7626.4525973787231</v>
      </c>
      <c r="D27" s="53">
        <v>33919.580685290159</v>
      </c>
      <c r="E27" s="83">
        <f t="shared" si="6"/>
        <v>0.22483923572457581</v>
      </c>
      <c r="G27" s="54">
        <v>1.5249384833271007</v>
      </c>
      <c r="I27" s="42">
        <f t="shared" si="7"/>
        <v>11629.871057012737</v>
      </c>
      <c r="J27" s="92">
        <f t="shared" si="8"/>
        <v>0.3428660031182591</v>
      </c>
    </row>
    <row r="28" spans="1:10" x14ac:dyDescent="0.25">
      <c r="A28" s="81" t="s">
        <v>443</v>
      </c>
      <c r="B28" s="44">
        <v>0.78125781219040324</v>
      </c>
      <c r="C28" s="46">
        <v>66.993093028463349</v>
      </c>
      <c r="D28" s="53">
        <v>556.74883112783562</v>
      </c>
      <c r="E28" s="83">
        <f t="shared" si="6"/>
        <v>0.12032911302705726</v>
      </c>
      <c r="G28" s="54">
        <v>1.5249384833271007</v>
      </c>
      <c r="I28" s="42">
        <f t="shared" si="7"/>
        <v>102.16034567621627</v>
      </c>
      <c r="J28" s="92">
        <f t="shared" si="8"/>
        <v>0.183494495119576</v>
      </c>
    </row>
    <row r="29" spans="1:10" x14ac:dyDescent="0.25">
      <c r="A29" s="81" t="s">
        <v>230</v>
      </c>
      <c r="B29" s="44">
        <v>156.99497076983781</v>
      </c>
      <c r="C29" s="46">
        <v>6939.8841853952954</v>
      </c>
      <c r="D29" s="53">
        <v>351579.39720261103</v>
      </c>
      <c r="E29" s="83">
        <f t="shared" si="6"/>
        <v>1.973916628964445E-2</v>
      </c>
      <c r="G29" s="54">
        <v>1.5249384833271007</v>
      </c>
      <c r="I29" s="42">
        <f t="shared" si="7"/>
        <v>10582.896464142434</v>
      </c>
      <c r="J29" s="92">
        <f t="shared" si="8"/>
        <v>3.010101430387184E-2</v>
      </c>
    </row>
    <row r="30" spans="1:10" x14ac:dyDescent="0.25">
      <c r="A30" s="82" t="s">
        <v>447</v>
      </c>
      <c r="B30" s="44">
        <f>SUM(B24:B29)</f>
        <v>433.76966909680095</v>
      </c>
      <c r="C30" s="46">
        <f>SUM(C24:C29)</f>
        <v>28429.150932062235</v>
      </c>
      <c r="D30" s="53">
        <f>SUM(D24:D29)</f>
        <v>427344.54292970814</v>
      </c>
      <c r="E30" s="83">
        <f t="shared" si="6"/>
        <v>6.652512920175141E-2</v>
      </c>
      <c r="I30" s="52">
        <f>SUM(I24:I29)</f>
        <v>43352.706304616207</v>
      </c>
      <c r="J30" s="92">
        <f t="shared" si="8"/>
        <v>0.10144672962805819</v>
      </c>
    </row>
    <row r="31" spans="1:10" x14ac:dyDescent="0.25">
      <c r="B31" s="44"/>
      <c r="C31" s="46"/>
      <c r="D31" s="53"/>
    </row>
    <row r="32" spans="1:10" x14ac:dyDescent="0.25">
      <c r="A32" s="49" t="s">
        <v>435</v>
      </c>
      <c r="B32" s="44"/>
      <c r="C32" s="46"/>
      <c r="D32" s="53"/>
    </row>
    <row r="33" spans="1:11" x14ac:dyDescent="0.25">
      <c r="A33" s="81" t="s">
        <v>280</v>
      </c>
      <c r="B33" s="44">
        <v>85.523592028031899</v>
      </c>
      <c r="C33" s="46">
        <v>4085.309273301762</v>
      </c>
      <c r="D33" s="53">
        <v>46253.972542805932</v>
      </c>
      <c r="E33" s="83">
        <f t="shared" ref="E33:E38" si="9">IF(ISERROR(C33/D33),"n/a",C33/D33)</f>
        <v>8.8323424966817624E-2</v>
      </c>
      <c r="G33" s="54">
        <v>1.5249384833271007</v>
      </c>
      <c r="I33" s="42">
        <f>C33*G33</f>
        <v>6229.8453271509288</v>
      </c>
      <c r="J33" s="92">
        <f t="shared" ref="J33:J40" si="10">IF(ISERROR(I33/D33),"n/a",I33/D33)</f>
        <v>0.13468778971115383</v>
      </c>
      <c r="K33" s="25"/>
    </row>
    <row r="34" spans="1:11" x14ac:dyDescent="0.25">
      <c r="A34" s="81" t="s">
        <v>440</v>
      </c>
      <c r="B34" s="44">
        <v>0</v>
      </c>
      <c r="C34" s="46">
        <v>0</v>
      </c>
      <c r="D34" s="53">
        <v>0</v>
      </c>
      <c r="E34" s="83" t="str">
        <f t="shared" si="9"/>
        <v>n/a</v>
      </c>
      <c r="G34" s="54">
        <v>1.5249384833271007</v>
      </c>
      <c r="I34" s="42">
        <f>C34*G34</f>
        <v>0</v>
      </c>
      <c r="J34" s="92" t="str">
        <f t="shared" si="10"/>
        <v>n/a</v>
      </c>
    </row>
    <row r="35" spans="1:11" x14ac:dyDescent="0.25">
      <c r="A35" s="81" t="s">
        <v>441</v>
      </c>
      <c r="B35" s="44">
        <v>0</v>
      </c>
      <c r="C35" s="46">
        <v>0</v>
      </c>
      <c r="D35" s="53">
        <v>0</v>
      </c>
      <c r="E35" s="83" t="str">
        <f t="shared" si="9"/>
        <v>n/a</v>
      </c>
      <c r="G35" s="54">
        <v>1.5249384833271007</v>
      </c>
      <c r="I35" s="42">
        <f>C35*G35</f>
        <v>0</v>
      </c>
      <c r="J35" s="92" t="str">
        <f t="shared" si="10"/>
        <v>n/a</v>
      </c>
    </row>
    <row r="36" spans="1:11" x14ac:dyDescent="0.25">
      <c r="A36" s="81" t="s">
        <v>443</v>
      </c>
      <c r="B36" s="44">
        <v>0</v>
      </c>
      <c r="C36" s="46">
        <v>0</v>
      </c>
      <c r="D36" s="53">
        <v>0</v>
      </c>
      <c r="E36" s="83" t="str">
        <f t="shared" si="9"/>
        <v>n/a</v>
      </c>
      <c r="G36" s="54">
        <v>1.5249384833271007</v>
      </c>
      <c r="I36" s="42">
        <f>C36*G36</f>
        <v>0</v>
      </c>
      <c r="J36" s="92" t="str">
        <f t="shared" si="10"/>
        <v>n/a</v>
      </c>
    </row>
    <row r="37" spans="1:11" x14ac:dyDescent="0.25">
      <c r="A37" s="81" t="s">
        <v>230</v>
      </c>
      <c r="B37" s="44">
        <v>9.4051730088330903</v>
      </c>
      <c r="C37" s="46">
        <v>415.75097026896231</v>
      </c>
      <c r="D37" s="53">
        <v>37200.152484302853</v>
      </c>
      <c r="E37" s="83">
        <f t="shared" si="9"/>
        <v>1.1176055540213028E-2</v>
      </c>
      <c r="G37" s="54">
        <v>1.5249384833271007</v>
      </c>
      <c r="I37" s="42">
        <f>C37*G37</f>
        <v>633.99465404372188</v>
      </c>
      <c r="J37" s="92">
        <f t="shared" si="10"/>
        <v>1.7042797185071894E-2</v>
      </c>
    </row>
    <row r="38" spans="1:11" x14ac:dyDescent="0.25">
      <c r="A38" s="82" t="s">
        <v>448</v>
      </c>
      <c r="B38" s="44">
        <f>SUM(B33:B37)</f>
        <v>94.928765036864988</v>
      </c>
      <c r="C38" s="46">
        <f>SUM(C33:C37)</f>
        <v>4501.0602435707242</v>
      </c>
      <c r="D38" s="53">
        <f>SUM(D33:D37)</f>
        <v>83454.125027108792</v>
      </c>
      <c r="E38" s="83">
        <f t="shared" si="9"/>
        <v>5.393454478264105E-2</v>
      </c>
      <c r="I38" s="52">
        <f>SUM(I33:I37)</f>
        <v>6863.839981194651</v>
      </c>
      <c r="J38" s="92">
        <f t="shared" si="10"/>
        <v>8.2246862919778244E-2</v>
      </c>
    </row>
    <row r="39" spans="1:11" x14ac:dyDescent="0.25">
      <c r="B39" s="44"/>
      <c r="C39" s="46"/>
    </row>
    <row r="40" spans="1:11" x14ac:dyDescent="0.25">
      <c r="A40" s="49" t="s">
        <v>419</v>
      </c>
      <c r="B40" s="44">
        <f>SUM(B12,B21,B30,B38)</f>
        <v>1214.1396858134124</v>
      </c>
      <c r="C40" s="46">
        <f>SUM(C12,C21,C30,C38)</f>
        <v>64028.963100856425</v>
      </c>
      <c r="D40" s="53">
        <f>SUM(D12,D21,D30,D38)</f>
        <v>3714930.9191709794</v>
      </c>
      <c r="E40" s="83">
        <f>IF(ISERROR(C40/D40),"n/a",C40/D40)</f>
        <v>1.7235573014408857E-2</v>
      </c>
      <c r="I40" s="46">
        <f>SUM(I12,I21,I30,I38)</f>
        <v>97640.229880026891</v>
      </c>
      <c r="J40" s="92">
        <f t="shared" si="10"/>
        <v>2.6283188571866147E-2</v>
      </c>
    </row>
    <row r="41" spans="1:11" hidden="1" x14ac:dyDescent="0.25"/>
    <row r="42" spans="1:11" hidden="1" x14ac:dyDescent="0.25">
      <c r="D42" s="53"/>
    </row>
    <row r="43" spans="1:11" hidden="1" x14ac:dyDescent="0.25">
      <c r="A43" s="48" t="s">
        <v>191</v>
      </c>
      <c r="B43" s="138">
        <v>0</v>
      </c>
      <c r="C43" s="138">
        <v>0</v>
      </c>
      <c r="D43" s="138">
        <v>0</v>
      </c>
      <c r="I43" s="138">
        <f>I40/C40-G37</f>
        <v>0</v>
      </c>
      <c r="J43" s="138">
        <f>J40/E40-G37</f>
        <v>0</v>
      </c>
    </row>
    <row r="44" spans="1:11" hidden="1" x14ac:dyDescent="0.25">
      <c r="B44" s="138">
        <v>0</v>
      </c>
      <c r="C44" s="138">
        <v>0</v>
      </c>
      <c r="D44" s="138">
        <v>0</v>
      </c>
    </row>
    <row r="45" spans="1:11" hidden="1" x14ac:dyDescent="0.25">
      <c r="B45" s="138">
        <v>0</v>
      </c>
      <c r="C45" s="138">
        <v>0</v>
      </c>
      <c r="D45" s="138">
        <v>0</v>
      </c>
    </row>
    <row r="46" spans="1:11" hidden="1" x14ac:dyDescent="0.25">
      <c r="B46" s="138">
        <v>0</v>
      </c>
      <c r="C46" s="138">
        <v>0</v>
      </c>
      <c r="D46" s="138">
        <v>0</v>
      </c>
    </row>
    <row r="47" spans="1:11" hidden="1" x14ac:dyDescent="0.25">
      <c r="B47" s="138">
        <v>0</v>
      </c>
      <c r="C47" s="138">
        <v>0</v>
      </c>
      <c r="D47" s="138">
        <v>0</v>
      </c>
    </row>
    <row r="48" spans="1:11" hidden="1" x14ac:dyDescent="0.25">
      <c r="C48" s="138">
        <v>0</v>
      </c>
      <c r="D48" s="138">
        <v>6.1118043959140778E-10</v>
      </c>
    </row>
    <row r="49" spans="1:5" x14ac:dyDescent="0.25">
      <c r="A49" s="141"/>
      <c r="B49" s="141"/>
      <c r="C49" s="141"/>
      <c r="D49" s="141"/>
    </row>
    <row r="50" spans="1:5" x14ac:dyDescent="0.25">
      <c r="A50" s="11" t="s">
        <v>235</v>
      </c>
    </row>
    <row r="51" spans="1:5" x14ac:dyDescent="0.25">
      <c r="A51" s="25" t="s">
        <v>800</v>
      </c>
      <c r="E51" s="442"/>
    </row>
    <row r="52" spans="1:5" x14ac:dyDescent="0.25">
      <c r="A52" s="25" t="s">
        <v>795</v>
      </c>
    </row>
    <row r="53" spans="1:5" x14ac:dyDescent="0.25">
      <c r="D53" s="53"/>
    </row>
    <row r="54" spans="1:5" x14ac:dyDescent="0.25">
      <c r="D54" s="53"/>
    </row>
    <row r="55" spans="1:5" x14ac:dyDescent="0.25">
      <c r="D55" s="53"/>
    </row>
    <row r="56" spans="1:5" x14ac:dyDescent="0.25">
      <c r="D56" s="53"/>
    </row>
    <row r="57" spans="1:5" x14ac:dyDescent="0.25">
      <c r="D57" s="53"/>
    </row>
    <row r="58" spans="1:5" x14ac:dyDescent="0.25">
      <c r="D58" s="53"/>
    </row>
    <row r="59" spans="1:5" x14ac:dyDescent="0.25">
      <c r="D59" s="53"/>
    </row>
    <row r="60" spans="1:5" x14ac:dyDescent="0.25">
      <c r="D60" s="53"/>
    </row>
    <row r="61" spans="1:5" x14ac:dyDescent="0.25">
      <c r="D61" s="53"/>
    </row>
    <row r="62" spans="1:5" x14ac:dyDescent="0.25">
      <c r="D62" s="53"/>
    </row>
    <row r="63" spans="1:5" x14ac:dyDescent="0.25">
      <c r="D63" s="53"/>
    </row>
    <row r="64" spans="1:5" x14ac:dyDescent="0.25">
      <c r="D64" s="53"/>
    </row>
    <row r="65" spans="4:4" x14ac:dyDescent="0.25">
      <c r="D65" s="53"/>
    </row>
    <row r="66" spans="4:4" x14ac:dyDescent="0.25">
      <c r="D66" s="53"/>
    </row>
    <row r="67" spans="4:4" x14ac:dyDescent="0.25">
      <c r="D67" s="53"/>
    </row>
    <row r="68" spans="4:4" x14ac:dyDescent="0.25">
      <c r="D68" s="53"/>
    </row>
    <row r="69" spans="4:4" x14ac:dyDescent="0.25">
      <c r="D69" s="53"/>
    </row>
    <row r="70" spans="4:4" x14ac:dyDescent="0.25">
      <c r="D70" s="53"/>
    </row>
    <row r="71" spans="4:4" x14ac:dyDescent="0.25">
      <c r="D71" s="53"/>
    </row>
    <row r="72" spans="4:4" x14ac:dyDescent="0.25">
      <c r="D72" s="53"/>
    </row>
    <row r="73" spans="4:4" x14ac:dyDescent="0.25">
      <c r="D73" s="53"/>
    </row>
    <row r="74" spans="4:4" x14ac:dyDescent="0.25">
      <c r="D74" s="53"/>
    </row>
    <row r="75" spans="4:4" x14ac:dyDescent="0.25">
      <c r="D75" s="53"/>
    </row>
    <row r="76" spans="4:4" x14ac:dyDescent="0.25">
      <c r="D76" s="53"/>
    </row>
    <row r="77" spans="4:4" x14ac:dyDescent="0.25">
      <c r="D77" s="53"/>
    </row>
    <row r="78" spans="4:4" x14ac:dyDescent="0.25">
      <c r="D78" s="53"/>
    </row>
    <row r="79" spans="4:4" x14ac:dyDescent="0.25">
      <c r="D79" s="53"/>
    </row>
    <row r="80" spans="4:4" x14ac:dyDescent="0.25">
      <c r="D80" s="53"/>
    </row>
    <row r="81" spans="4:4" x14ac:dyDescent="0.25">
      <c r="D81" s="53"/>
    </row>
    <row r="82" spans="4:4" x14ac:dyDescent="0.25">
      <c r="D82" s="53"/>
    </row>
    <row r="83" spans="4:4" x14ac:dyDescent="0.25">
      <c r="D83" s="53"/>
    </row>
    <row r="84" spans="4:4" x14ac:dyDescent="0.25">
      <c r="D84" s="53"/>
    </row>
    <row r="85" spans="4:4" x14ac:dyDescent="0.25">
      <c r="D85" s="53"/>
    </row>
    <row r="86" spans="4:4" x14ac:dyDescent="0.25">
      <c r="D86" s="53"/>
    </row>
    <row r="87" spans="4:4" x14ac:dyDescent="0.25">
      <c r="D87" s="53"/>
    </row>
    <row r="88" spans="4:4" x14ac:dyDescent="0.25">
      <c r="D88" s="53"/>
    </row>
    <row r="89" spans="4:4" x14ac:dyDescent="0.25">
      <c r="D89" s="53"/>
    </row>
    <row r="90" spans="4:4" x14ac:dyDescent="0.25">
      <c r="D90" s="53"/>
    </row>
    <row r="91" spans="4:4" x14ac:dyDescent="0.25">
      <c r="D91" s="53"/>
    </row>
    <row r="92" spans="4:4" x14ac:dyDescent="0.25">
      <c r="D92" s="53"/>
    </row>
    <row r="93" spans="4:4" x14ac:dyDescent="0.25">
      <c r="D93" s="53"/>
    </row>
  </sheetData>
  <phoneticPr fontId="0" type="noConversion"/>
  <printOptions horizontalCentered="1"/>
  <pageMargins left="0.75" right="0.75" top="1" bottom="1" header="0.5" footer="0.5"/>
  <pageSetup scale="83" orientation="landscape" r:id="rId1"/>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Y85"/>
  <sheetViews>
    <sheetView zoomScale="70" workbookViewId="0"/>
  </sheetViews>
  <sheetFormatPr defaultRowHeight="13.2" x14ac:dyDescent="0.25"/>
  <cols>
    <col min="1" max="1" width="0.88671875" customWidth="1"/>
    <col min="2" max="2" width="25.109375" customWidth="1"/>
    <col min="3" max="3" width="14" customWidth="1"/>
    <col min="4" max="4" width="16.44140625" customWidth="1"/>
    <col min="5" max="6" width="10.6640625" customWidth="1"/>
    <col min="7" max="7" width="8.6640625" customWidth="1"/>
    <col min="8" max="9" width="10.6640625" customWidth="1"/>
    <col min="10" max="10" width="8.6640625" customWidth="1"/>
    <col min="11" max="12" width="10.6640625" customWidth="1"/>
    <col min="13" max="13" width="8.6640625" customWidth="1"/>
    <col min="16" max="16" width="10" bestFit="1" customWidth="1"/>
    <col min="22" max="22" width="10.109375" bestFit="1" customWidth="1"/>
  </cols>
  <sheetData>
    <row r="1" spans="2:25" ht="15.6" x14ac:dyDescent="0.3">
      <c r="B1" s="158" t="s">
        <v>237</v>
      </c>
      <c r="C1" s="158"/>
      <c r="D1" s="158"/>
    </row>
    <row r="2" spans="2:25" ht="16.2" thickBot="1" x14ac:dyDescent="0.35">
      <c r="B2" s="158" t="s">
        <v>787</v>
      </c>
    </row>
    <row r="3" spans="2:25" ht="15.75" customHeight="1" x14ac:dyDescent="0.3">
      <c r="B3" s="373" t="s">
        <v>528</v>
      </c>
      <c r="C3" s="374"/>
      <c r="D3" s="374"/>
      <c r="E3" s="375"/>
      <c r="F3" s="375"/>
      <c r="G3" s="375"/>
      <c r="H3" s="375"/>
      <c r="I3" s="375"/>
      <c r="J3" s="375"/>
      <c r="K3" s="375"/>
      <c r="L3" s="375"/>
      <c r="M3" s="376"/>
    </row>
    <row r="4" spans="2:25" ht="15.6" x14ac:dyDescent="0.3">
      <c r="B4" s="427"/>
      <c r="C4" s="5"/>
      <c r="D4" s="5"/>
      <c r="E4" s="148" t="s">
        <v>348</v>
      </c>
      <c r="F4" s="395"/>
      <c r="G4" s="395"/>
      <c r="H4" s="395"/>
      <c r="I4" s="395"/>
      <c r="J4" s="395"/>
      <c r="K4" s="395"/>
      <c r="L4" s="395"/>
      <c r="M4" s="397"/>
    </row>
    <row r="5" spans="2:25" x14ac:dyDescent="0.25">
      <c r="B5" s="378"/>
      <c r="C5" s="5"/>
      <c r="D5" s="5"/>
      <c r="E5" s="148" t="s">
        <v>334</v>
      </c>
      <c r="F5" s="395"/>
      <c r="G5" s="396"/>
      <c r="H5" s="148" t="s">
        <v>345</v>
      </c>
      <c r="I5" s="395"/>
      <c r="J5" s="396"/>
      <c r="K5" s="148" t="s">
        <v>346</v>
      </c>
      <c r="L5" s="395"/>
      <c r="M5" s="397"/>
    </row>
    <row r="6" spans="2:25" x14ac:dyDescent="0.25">
      <c r="B6" s="378"/>
      <c r="C6" s="91"/>
      <c r="D6" s="91"/>
      <c r="E6" s="371" t="s">
        <v>324</v>
      </c>
      <c r="F6" s="392" t="s">
        <v>103</v>
      </c>
      <c r="G6" s="372" t="s">
        <v>329</v>
      </c>
      <c r="H6" s="371" t="s">
        <v>324</v>
      </c>
      <c r="I6" s="392" t="s">
        <v>103</v>
      </c>
      <c r="J6" s="372" t="s">
        <v>329</v>
      </c>
      <c r="K6" s="371" t="s">
        <v>324</v>
      </c>
      <c r="L6" s="392" t="s">
        <v>103</v>
      </c>
      <c r="M6" s="398" t="s">
        <v>329</v>
      </c>
    </row>
    <row r="7" spans="2:25" x14ac:dyDescent="0.25">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x14ac:dyDescent="0.25">
      <c r="B8" s="382" t="s">
        <v>316</v>
      </c>
      <c r="C8" s="327" t="s">
        <v>322</v>
      </c>
      <c r="D8" s="327" t="s">
        <v>331</v>
      </c>
      <c r="E8" s="403">
        <f>SUM('Table 3.3-PARS Fwd Summary'!F13)</f>
        <v>2961.1730483626225</v>
      </c>
      <c r="F8" s="361"/>
      <c r="G8" s="247"/>
      <c r="H8" s="403">
        <f>SUM('Table 3.6-PARS RTS Summary'!F21,'Table 3.6-PARS RTS Summary'!F31,'Table 3.6-PARS RTS Summary'!F52)</f>
        <v>71153.148909861571</v>
      </c>
      <c r="I8" s="361"/>
      <c r="J8" s="247"/>
      <c r="K8" s="403">
        <f>SUM('Table 3.9-PARS Wst Summary'!F21,'Table 3.9-PARS Wst Summary'!F39)</f>
        <v>19776.58210963893</v>
      </c>
      <c r="L8" s="361"/>
      <c r="M8" s="390"/>
      <c r="P8" s="485"/>
      <c r="Q8" s="151"/>
      <c r="R8" s="151"/>
      <c r="S8" s="485"/>
      <c r="T8" s="151"/>
      <c r="U8" s="151"/>
      <c r="V8" s="485"/>
      <c r="W8" s="151"/>
      <c r="X8" s="151"/>
      <c r="Y8" s="151"/>
    </row>
    <row r="9" spans="2:25" x14ac:dyDescent="0.25">
      <c r="B9" s="382" t="s">
        <v>318</v>
      </c>
      <c r="C9" s="327" t="s">
        <v>323</v>
      </c>
      <c r="D9" s="327" t="s">
        <v>347</v>
      </c>
      <c r="E9" s="404">
        <f>SUM('Table 3.3-PARS Fwd Summary'!F14)</f>
        <v>290.89162344999954</v>
      </c>
      <c r="F9" s="18"/>
      <c r="G9" s="369"/>
      <c r="H9" s="404">
        <f>SUM('Table 3.6-PARS RTS Summary'!F9,'Table 3.6-PARS RTS Summary'!F22,'Table 3.6-PARS RTS Summary'!F32,'Table 3.6-PARS RTS Summary'!F37,'Table 3.6-PARS RTS Summary'!F53)</f>
        <v>14334.453877190736</v>
      </c>
      <c r="I9" s="18"/>
      <c r="J9" s="369"/>
      <c r="K9" s="404">
        <f>SUM('Table 3.9-PARS Wst Summary'!F9,'Table 3.9-PARS Wst Summary'!F22,'Table 3.9-PARS Wst Summary'!F40)</f>
        <v>2549.3257837835863</v>
      </c>
      <c r="L9" s="18"/>
      <c r="M9" s="377"/>
      <c r="P9" s="485"/>
      <c r="Q9" s="151"/>
      <c r="R9" s="151"/>
      <c r="S9" s="485"/>
      <c r="T9" s="151"/>
      <c r="U9" s="151"/>
      <c r="V9" s="485"/>
      <c r="W9" s="151"/>
      <c r="X9" s="151"/>
      <c r="Y9" s="151"/>
    </row>
    <row r="10" spans="2:25" ht="12.75" customHeight="1" x14ac:dyDescent="0.25">
      <c r="B10" s="382" t="s">
        <v>319</v>
      </c>
      <c r="C10" s="327" t="s">
        <v>323</v>
      </c>
      <c r="D10" s="327" t="s">
        <v>349</v>
      </c>
      <c r="E10" s="404">
        <f>SUM('Table 3.3-PARS Fwd Summary'!F9,'Table 3.3-PARS Fwd Summary'!F19)</f>
        <v>8843.5846951300337</v>
      </c>
      <c r="F10" s="18"/>
      <c r="G10" s="369"/>
      <c r="H10" s="404">
        <f>SUM('Table 3.6-PARS RTS Summary'!F17,'Table 3.6-PARS RTS Summary'!F27,'Table 3.6-PARS RTS Summary'!F48,'Table 3.6-PARS RTS Summary'!F58)</f>
        <v>3237.3047573635672</v>
      </c>
      <c r="I10" s="18"/>
      <c r="J10" s="369"/>
      <c r="K10" s="404">
        <f>SUM('Table 3.9-PARS Wst Summary'!F17,'Table 3.9-PARS Wst Summary'!F27,'Table 3.9-PARS Wst Summary'!F35,'Table 3.9-PARS Wst Summary'!F45)</f>
        <v>855.34662465501424</v>
      </c>
      <c r="L10" s="18"/>
      <c r="M10" s="377"/>
      <c r="P10" s="485"/>
      <c r="Q10" s="151"/>
      <c r="R10" s="151"/>
      <c r="S10" s="485"/>
      <c r="T10" s="151"/>
      <c r="U10" s="151"/>
      <c r="V10" s="485"/>
      <c r="W10" s="151"/>
      <c r="X10" s="151"/>
      <c r="Y10" s="151"/>
    </row>
    <row r="11" spans="2:25" ht="12.75" customHeight="1" x14ac:dyDescent="0.25">
      <c r="B11" s="380" t="s">
        <v>459</v>
      </c>
      <c r="C11" s="327" t="s">
        <v>332</v>
      </c>
      <c r="D11" s="364" t="s">
        <v>531</v>
      </c>
      <c r="E11" s="404">
        <f>SUM('Table 3.3-PARS Fwd Summary'!F5,'Table 3.3-PARS Fwd Summary'!F15)</f>
        <v>42976.145728303578</v>
      </c>
      <c r="F11" s="18"/>
      <c r="G11" s="369"/>
      <c r="H11" s="404">
        <f>SUM('Table 3.6-PARS RTS Summary'!F5,'Table 3.6-PARS RTS Summary'!F13,'Table 3.6-PARS RTS Summary'!F23,'Table 3.6-PARS RTS Summary'!F33,'Table 3.6-PARS RTS Summary'!F44,'Table 3.6-PARS RTS Summary'!F54)</f>
        <v>-7500.4884199948447</v>
      </c>
      <c r="I11" s="18"/>
      <c r="J11" s="369"/>
      <c r="K11" s="404">
        <f>SUM('Table 3.9-PARS Wst Summary'!F5,'Table 3.9-PARS Wst Summary'!F13,'Table 3.9-PARS Wst Summary'!F23,'Table 3.9-PARS Wst Summary'!F31,'Table 3.9-PARS Wst Summary'!F41)</f>
        <v>64909.489663150329</v>
      </c>
      <c r="L11" s="18"/>
      <c r="M11" s="377"/>
      <c r="P11" s="485"/>
      <c r="Q11" s="151"/>
      <c r="R11" s="151"/>
      <c r="S11" s="485"/>
      <c r="T11" s="151"/>
      <c r="U11" s="151"/>
      <c r="V11" s="485"/>
      <c r="W11" s="151"/>
      <c r="X11" s="151"/>
      <c r="Y11" s="151"/>
    </row>
    <row r="12" spans="2:25" ht="12.75" customHeight="1" x14ac:dyDescent="0.25">
      <c r="B12" s="380" t="s">
        <v>530</v>
      </c>
      <c r="C12" s="327" t="s">
        <v>323</v>
      </c>
      <c r="D12" s="327" t="s">
        <v>46</v>
      </c>
      <c r="E12" s="404">
        <f>SUM('Table 3.3-PARS Fwd Summary'!F7:F8,'Table 3.3-PARS Fwd Summary'!F17:F18)</f>
        <v>35767.511699865499</v>
      </c>
      <c r="F12" s="18"/>
      <c r="G12" s="369"/>
      <c r="H12" s="404">
        <f>SUM('Table 3.6-PARS RTS Summary'!F7:F8,'Table 3.6-PARS RTS Summary'!F15:F16,'Table 3.6-PARS RTS Summary'!F25:F26,'Table 3.6-PARS RTS Summary'!F35:F36,'Table 3.6-PARS RTS Summary'!F46:F47,'Table 3.6-PARS RTS Summary'!F56:F57)</f>
        <v>4668.528262641642</v>
      </c>
      <c r="I12" s="18"/>
      <c r="J12" s="369"/>
      <c r="K12" s="404">
        <f>SUM('Table 3.9-PARS Wst Summary'!F7:F8,'Table 3.9-PARS Wst Summary'!F15:F16,'Table 3.9-PARS Wst Summary'!F25:F26,'Table 3.9-PARS Wst Summary'!F33:F34,'Table 3.9-PARS Wst Summary'!F43:F44)</f>
        <v>52143.797571728966</v>
      </c>
      <c r="L12" s="18"/>
      <c r="M12" s="377"/>
      <c r="P12" s="485"/>
      <c r="Q12" s="151"/>
      <c r="R12" s="151"/>
      <c r="S12" s="485"/>
      <c r="T12" s="151"/>
      <c r="U12" s="151"/>
      <c r="V12" s="485"/>
      <c r="W12" s="151"/>
      <c r="X12" s="151"/>
      <c r="Y12" s="151"/>
    </row>
    <row r="13" spans="2:25" x14ac:dyDescent="0.25">
      <c r="B13" s="380" t="s">
        <v>335</v>
      </c>
      <c r="C13" s="327" t="s">
        <v>332</v>
      </c>
      <c r="D13" s="327" t="s">
        <v>330</v>
      </c>
      <c r="E13" s="404">
        <f>'Table 3.3-PARS Fwd Summary'!F23</f>
        <v>81039.157437325019</v>
      </c>
      <c r="F13" s="18"/>
      <c r="G13" s="589"/>
      <c r="H13" s="404">
        <f>'Table 3.6-PARS RTS Summary'!F62</f>
        <v>493243.57224643545</v>
      </c>
      <c r="I13" s="18"/>
      <c r="J13" s="589"/>
      <c r="K13" s="404">
        <v>0</v>
      </c>
      <c r="L13" s="18"/>
      <c r="M13" s="377"/>
      <c r="O13" s="588"/>
      <c r="P13" s="485"/>
      <c r="Q13" s="151"/>
      <c r="R13" s="600"/>
      <c r="S13" s="485"/>
      <c r="T13" s="151"/>
      <c r="U13" s="600"/>
      <c r="V13" s="485"/>
      <c r="W13" s="151"/>
      <c r="X13" s="151"/>
      <c r="Y13" s="151"/>
    </row>
    <row r="14" spans="2:25" x14ac:dyDescent="0.25">
      <c r="B14" s="383" t="s">
        <v>336</v>
      </c>
      <c r="C14" s="325" t="s">
        <v>322</v>
      </c>
      <c r="D14" s="365" t="s">
        <v>171</v>
      </c>
      <c r="E14" s="405">
        <f>SUM('Table 3.3-PARS Fwd Summary'!F24:F26)</f>
        <v>0</v>
      </c>
      <c r="F14" s="283"/>
      <c r="G14" s="370"/>
      <c r="H14" s="405">
        <f>SUM('Table 3.6-PARS RTS Summary'!F63:F65)</f>
        <v>16009.439537766113</v>
      </c>
      <c r="I14" s="283"/>
      <c r="J14" s="370"/>
      <c r="K14" s="405">
        <v>0</v>
      </c>
      <c r="L14" s="283"/>
      <c r="M14" s="387"/>
      <c r="O14" s="165"/>
      <c r="P14" s="485"/>
      <c r="Q14" s="151"/>
      <c r="R14" s="151"/>
      <c r="S14" s="485"/>
      <c r="T14" s="151"/>
      <c r="U14" s="151"/>
      <c r="V14" s="485"/>
      <c r="W14" s="151"/>
      <c r="X14" s="151"/>
      <c r="Y14" s="151"/>
    </row>
    <row r="15" spans="2:25" ht="13.8" thickBot="1" x14ac:dyDescent="0.3">
      <c r="B15" s="384"/>
      <c r="C15" s="385"/>
      <c r="D15" s="391" t="s">
        <v>277</v>
      </c>
      <c r="E15" s="409">
        <f>SUM(E8:E14)</f>
        <v>171878.46423243676</v>
      </c>
      <c r="F15" s="410">
        <f>'Table 3.3-PARS Fwd Summary'!B29</f>
        <v>707029.98600000027</v>
      </c>
      <c r="G15" s="400">
        <f>E15/F15</f>
        <v>0.24309925694217543</v>
      </c>
      <c r="H15" s="411">
        <f>SUM(H8:H14)</f>
        <v>595145.95917126432</v>
      </c>
      <c r="I15" s="410">
        <f>'Table 3.6-PARS RTS Summary'!B68</f>
        <v>1254327.7950000002</v>
      </c>
      <c r="J15" s="400">
        <f>H15/I15</f>
        <v>0.47447402628215241</v>
      </c>
      <c r="K15" s="411">
        <f>SUM(K8:K14)</f>
        <v>140234.54175295684</v>
      </c>
      <c r="L15" s="410">
        <f>'Table 3.9-PARS Wst Summary'!B48</f>
        <v>1186451.3350000002</v>
      </c>
      <c r="M15" s="401">
        <f>K15/L15</f>
        <v>0.11819662350749247</v>
      </c>
      <c r="O15" s="83"/>
      <c r="P15" s="601"/>
      <c r="Q15" s="602"/>
      <c r="R15" s="603"/>
      <c r="S15" s="601"/>
      <c r="T15" s="602"/>
      <c r="U15" s="603"/>
      <c r="V15" s="601"/>
      <c r="W15" s="602"/>
      <c r="X15" s="603"/>
      <c r="Y15" s="484"/>
    </row>
    <row r="16" spans="2:25" ht="5.0999999999999996" customHeight="1" thickBot="1" x14ac:dyDescent="0.3">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x14ac:dyDescent="0.3">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x14ac:dyDescent="0.3">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x14ac:dyDescent="0.25">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x14ac:dyDescent="0.25">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x14ac:dyDescent="0.25">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x14ac:dyDescent="0.25">
      <c r="B22" s="382" t="s">
        <v>316</v>
      </c>
      <c r="C22" s="327" t="s">
        <v>322</v>
      </c>
      <c r="D22" s="327" t="s">
        <v>331</v>
      </c>
      <c r="E22" s="403">
        <f>SUM('Table 3.4-NonPARS Fwd Summary'!F5,'Table 3.4-NonPARS Fwd Summary'!F11)</f>
        <v>6311.6643005973383</v>
      </c>
      <c r="F22" s="361"/>
      <c r="G22" s="247"/>
      <c r="H22" s="403">
        <f>SUM('Table 3.7-NonPARS RTS Summary'!F5,'Table 3.7-NonPARS RTS Summary'!F11,'Table 3.7-NonPARS RTS Summary'!F17)</f>
        <v>8115.6669839904625</v>
      </c>
      <c r="I22" s="361"/>
      <c r="J22" s="247"/>
      <c r="K22" s="403">
        <f>SUM('Table 3.10-NonPARS Wst Summary'!F5,'Table 3.10-NonPARS Wst Summary'!F10,'Table 3.10-NonPARS Wst Summary'!F15)</f>
        <v>78565.510367633295</v>
      </c>
      <c r="L22" s="361"/>
      <c r="M22" s="390"/>
      <c r="P22" s="485"/>
      <c r="Q22" s="151"/>
      <c r="R22" s="151"/>
      <c r="S22" s="485"/>
      <c r="T22" s="151"/>
      <c r="U22" s="151"/>
      <c r="V22" s="485"/>
      <c r="W22" s="151"/>
      <c r="X22" s="151"/>
      <c r="Y22" s="151"/>
    </row>
    <row r="23" spans="2:25" ht="12.75" customHeight="1" x14ac:dyDescent="0.25">
      <c r="B23" s="382" t="s">
        <v>318</v>
      </c>
      <c r="C23" s="327" t="s">
        <v>323</v>
      </c>
      <c r="D23" s="327" t="s">
        <v>347</v>
      </c>
      <c r="E23" s="404">
        <f>SUM('Table 3.4-NonPARS Fwd Summary'!F6:F7)</f>
        <v>5277.4378329235369</v>
      </c>
      <c r="F23" s="18"/>
      <c r="G23" s="369"/>
      <c r="H23" s="404">
        <f>SUM('Table 3.7-NonPARS RTS Summary'!F6:F7,'Table 3.7-NonPARS RTS Summary'!F18)</f>
        <v>19047.136947099189</v>
      </c>
      <c r="I23" s="18"/>
      <c r="J23" s="369"/>
      <c r="K23" s="404">
        <f>SUM('Table 3.10-NonPARS Wst Summary'!F6,'Table 3.10-NonPARS Wst Summary'!F16)</f>
        <v>41671.381276523367</v>
      </c>
      <c r="L23" s="18"/>
      <c r="M23" s="377"/>
      <c r="P23" s="485"/>
      <c r="Q23" s="151"/>
      <c r="R23" s="151"/>
      <c r="S23" s="485"/>
      <c r="T23" s="151"/>
      <c r="U23" s="151"/>
      <c r="V23" s="485"/>
      <c r="W23" s="151"/>
      <c r="X23" s="151"/>
      <c r="Y23" s="151"/>
    </row>
    <row r="24" spans="2:25" ht="12.75" customHeight="1" x14ac:dyDescent="0.25">
      <c r="B24" s="382" t="s">
        <v>319</v>
      </c>
      <c r="C24" s="327" t="s">
        <v>323</v>
      </c>
      <c r="D24" s="327" t="s">
        <v>349</v>
      </c>
      <c r="E24" s="404">
        <f>SUM('Table 3.4-NonPARS Fwd Summary'!F12:F13)</f>
        <v>8079.909254891536</v>
      </c>
      <c r="F24" s="18"/>
      <c r="G24" s="369"/>
      <c r="H24" s="404">
        <f>SUM('Table 3.7-NonPARS RTS Summary'!F12:F13,'Table 3.7-NonPARS RTS Summary'!F19)</f>
        <v>9594.5140571787451</v>
      </c>
      <c r="I24" s="18"/>
      <c r="J24" s="369"/>
      <c r="K24" s="404">
        <f>SUM('Table 3.10-NonPARS Wst Summary'!F11,'Table 3.10-NonPARS Wst Summary'!F17)</f>
        <v>13349.667556655269</v>
      </c>
      <c r="L24" s="18"/>
      <c r="M24" s="377"/>
      <c r="P24" s="485"/>
      <c r="Q24" s="151"/>
      <c r="R24" s="151"/>
      <c r="S24" s="485"/>
      <c r="T24" s="151"/>
      <c r="U24" s="151"/>
      <c r="V24" s="485"/>
      <c r="W24" s="151"/>
      <c r="X24" s="151"/>
      <c r="Y24" s="151"/>
    </row>
    <row r="25" spans="2:25" ht="12.75" customHeight="1" x14ac:dyDescent="0.25">
      <c r="B25" s="380" t="s">
        <v>335</v>
      </c>
      <c r="C25" s="327" t="s">
        <v>332</v>
      </c>
      <c r="D25" s="327" t="s">
        <v>330</v>
      </c>
      <c r="E25" s="404">
        <f>'Table 3.4-NonPARS Fwd Summary'!F17</f>
        <v>26479.272971662063</v>
      </c>
      <c r="F25" s="18"/>
      <c r="G25" s="589"/>
      <c r="H25" s="404">
        <f>'Table 3.7-NonPARS RTS Summary'!F23</f>
        <v>201864.38902164123</v>
      </c>
      <c r="I25" s="18"/>
      <c r="J25" s="589"/>
      <c r="K25" s="404">
        <v>0</v>
      </c>
      <c r="L25" s="18"/>
      <c r="M25" s="377"/>
      <c r="O25" s="588"/>
      <c r="P25" s="485"/>
      <c r="Q25" s="151"/>
      <c r="R25" s="600"/>
      <c r="S25" s="485"/>
      <c r="T25" s="151"/>
      <c r="U25" s="600"/>
      <c r="V25" s="485"/>
      <c r="W25" s="151"/>
      <c r="X25" s="151"/>
      <c r="Y25" s="151"/>
    </row>
    <row r="26" spans="2:25" ht="12.75" customHeight="1" x14ac:dyDescent="0.25">
      <c r="B26" s="383" t="s">
        <v>336</v>
      </c>
      <c r="C26" s="325" t="s">
        <v>322</v>
      </c>
      <c r="D26" s="365" t="s">
        <v>171</v>
      </c>
      <c r="E26" s="405">
        <f>SUM('Table 3.4-NonPARS Fwd Summary'!F18:F21)</f>
        <v>7971.2539140481731</v>
      </c>
      <c r="F26" s="283"/>
      <c r="G26" s="370"/>
      <c r="H26" s="405">
        <f>SUM('Table 3.7-NonPARS RTS Summary'!F24:F26)</f>
        <v>28132.676056617918</v>
      </c>
      <c r="I26" s="283"/>
      <c r="J26" s="370"/>
      <c r="K26" s="405">
        <v>0</v>
      </c>
      <c r="L26" s="283"/>
      <c r="M26" s="387"/>
      <c r="O26" s="165"/>
      <c r="P26" s="485"/>
      <c r="Q26" s="151"/>
      <c r="R26" s="151"/>
      <c r="S26" s="485"/>
      <c r="T26" s="151"/>
      <c r="U26" s="151"/>
      <c r="V26" s="485"/>
      <c r="W26" s="151"/>
      <c r="X26" s="151"/>
      <c r="Y26" s="151"/>
    </row>
    <row r="27" spans="2:25" ht="12.75" customHeight="1" thickBot="1" x14ac:dyDescent="0.3">
      <c r="B27" s="384"/>
      <c r="C27" s="385"/>
      <c r="D27" s="391" t="s">
        <v>277</v>
      </c>
      <c r="E27" s="411">
        <f>SUM(E22:E26)</f>
        <v>54119.538274122649</v>
      </c>
      <c r="F27" s="410">
        <f>'Table 3.4-NonPARS Fwd Summary'!B24</f>
        <v>67779.51693221512</v>
      </c>
      <c r="G27" s="400">
        <f>E27/F27</f>
        <v>0.7984645026055065</v>
      </c>
      <c r="H27" s="411">
        <f>SUM(H22:H26)</f>
        <v>266754.38306652755</v>
      </c>
      <c r="I27" s="410">
        <f>'Table 3.7-NonPARS RTS Summary'!B29</f>
        <v>83834.306071125611</v>
      </c>
      <c r="J27" s="400">
        <f>H27/I27</f>
        <v>3.1819239111994468</v>
      </c>
      <c r="K27" s="411">
        <f>SUM(K22:K26)</f>
        <v>133586.55920081193</v>
      </c>
      <c r="L27" s="410">
        <f>'Table 3.10-NonPARS Wst Summary'!B20</f>
        <v>2255339.1937772743</v>
      </c>
      <c r="M27" s="401">
        <f>K27/L27</f>
        <v>5.9231249813505547E-2</v>
      </c>
      <c r="O27" s="83"/>
      <c r="P27" s="601"/>
      <c r="Q27" s="602"/>
      <c r="R27" s="603"/>
      <c r="S27" s="601"/>
      <c r="T27" s="602"/>
      <c r="U27" s="603"/>
      <c r="V27" s="601"/>
      <c r="W27" s="602"/>
      <c r="X27" s="603"/>
      <c r="Y27" s="484"/>
    </row>
    <row r="28" spans="2:25" ht="5.0999999999999996" customHeight="1" thickBot="1" x14ac:dyDescent="0.3">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x14ac:dyDescent="0.3">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x14ac:dyDescent="0.3">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x14ac:dyDescent="0.25">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x14ac:dyDescent="0.25">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x14ac:dyDescent="0.25">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x14ac:dyDescent="0.25">
      <c r="B34" s="382" t="s">
        <v>316</v>
      </c>
      <c r="C34" s="327" t="s">
        <v>322</v>
      </c>
      <c r="D34" s="327" t="s">
        <v>331</v>
      </c>
      <c r="E34" s="403">
        <f>E8+E22</f>
        <v>9272.8373489599617</v>
      </c>
      <c r="F34" s="361"/>
      <c r="G34" s="247"/>
      <c r="H34" s="403">
        <f>H8+H22</f>
        <v>79268.815893852036</v>
      </c>
      <c r="I34" s="361"/>
      <c r="J34" s="247"/>
      <c r="K34" s="403">
        <f>K8+K22</f>
        <v>98342.092477272221</v>
      </c>
      <c r="L34" s="361"/>
      <c r="M34" s="390"/>
      <c r="P34" s="485"/>
      <c r="Q34" s="151"/>
      <c r="R34" s="151"/>
      <c r="S34" s="485"/>
      <c r="T34" s="151"/>
      <c r="U34" s="151"/>
      <c r="V34" s="485"/>
      <c r="W34" s="151"/>
      <c r="X34" s="151"/>
      <c r="Y34" s="151"/>
    </row>
    <row r="35" spans="2:25" ht="12.75" customHeight="1" x14ac:dyDescent="0.25">
      <c r="B35" s="382" t="s">
        <v>318</v>
      </c>
      <c r="C35" s="327" t="s">
        <v>323</v>
      </c>
      <c r="D35" s="327" t="s">
        <v>347</v>
      </c>
      <c r="E35" s="404">
        <f>E9+E23</f>
        <v>5568.3294563735362</v>
      </c>
      <c r="F35" s="18"/>
      <c r="G35" s="369"/>
      <c r="H35" s="404">
        <f>H9+H23</f>
        <v>33381.590824289924</v>
      </c>
      <c r="I35" s="18"/>
      <c r="J35" s="369"/>
      <c r="K35" s="404">
        <f>K9+K23</f>
        <v>44220.707060306951</v>
      </c>
      <c r="L35" s="18"/>
      <c r="M35" s="377"/>
      <c r="P35" s="485"/>
      <c r="Q35" s="151"/>
      <c r="R35" s="151"/>
      <c r="S35" s="485"/>
      <c r="T35" s="151"/>
      <c r="U35" s="151"/>
      <c r="V35" s="485"/>
      <c r="W35" s="151"/>
      <c r="X35" s="151"/>
      <c r="Y35" s="151"/>
    </row>
    <row r="36" spans="2:25" ht="12.75" customHeight="1" x14ac:dyDescent="0.25">
      <c r="B36" s="382" t="s">
        <v>319</v>
      </c>
      <c r="C36" s="327" t="s">
        <v>323</v>
      </c>
      <c r="D36" s="327" t="s">
        <v>349</v>
      </c>
      <c r="E36" s="404">
        <f>E10+E24</f>
        <v>16923.49395002157</v>
      </c>
      <c r="F36" s="18"/>
      <c r="G36" s="369"/>
      <c r="H36" s="404">
        <f>H10+H24</f>
        <v>12831.818814542312</v>
      </c>
      <c r="I36" s="18"/>
      <c r="J36" s="369"/>
      <c r="K36" s="404">
        <f>K10+K24</f>
        <v>14205.014181310284</v>
      </c>
      <c r="L36" s="18"/>
      <c r="M36" s="377"/>
      <c r="P36" s="485"/>
      <c r="Q36" s="151"/>
      <c r="R36" s="151"/>
      <c r="S36" s="485"/>
      <c r="T36" s="151"/>
      <c r="U36" s="151"/>
      <c r="V36" s="485"/>
      <c r="W36" s="151"/>
      <c r="X36" s="151"/>
      <c r="Y36" s="151"/>
    </row>
    <row r="37" spans="2:25" ht="12.75" customHeight="1" x14ac:dyDescent="0.25">
      <c r="B37" s="380" t="s">
        <v>459</v>
      </c>
      <c r="C37" s="327" t="s">
        <v>332</v>
      </c>
      <c r="D37" s="364" t="s">
        <v>531</v>
      </c>
      <c r="E37" s="404">
        <f>E11</f>
        <v>42976.145728303578</v>
      </c>
      <c r="F37" s="18"/>
      <c r="G37" s="369"/>
      <c r="H37" s="404">
        <f>H11</f>
        <v>-7500.4884199948447</v>
      </c>
      <c r="I37" s="18"/>
      <c r="J37" s="369"/>
      <c r="K37" s="404">
        <f>K11</f>
        <v>64909.489663150329</v>
      </c>
      <c r="L37" s="18"/>
      <c r="M37" s="377"/>
      <c r="O37" s="107"/>
      <c r="P37" s="485"/>
      <c r="Q37" s="151"/>
      <c r="R37" s="151"/>
      <c r="S37" s="485"/>
      <c r="T37" s="151"/>
      <c r="U37" s="151"/>
      <c r="V37" s="485"/>
      <c r="W37" s="151"/>
      <c r="X37" s="151"/>
      <c r="Y37" s="151"/>
    </row>
    <row r="38" spans="2:25" ht="12.75" customHeight="1" x14ac:dyDescent="0.25">
      <c r="B38" s="380" t="s">
        <v>530</v>
      </c>
      <c r="C38" s="327" t="s">
        <v>323</v>
      </c>
      <c r="D38" s="327" t="s">
        <v>46</v>
      </c>
      <c r="E38" s="404">
        <f>E12</f>
        <v>35767.511699865499</v>
      </c>
      <c r="F38" s="18"/>
      <c r="G38" s="369"/>
      <c r="H38" s="404">
        <f>H12</f>
        <v>4668.528262641642</v>
      </c>
      <c r="I38" s="18"/>
      <c r="J38" s="369"/>
      <c r="K38" s="404">
        <f>K12</f>
        <v>52143.797571728966</v>
      </c>
      <c r="L38" s="18"/>
      <c r="M38" s="377"/>
      <c r="P38" s="485"/>
      <c r="Q38" s="151"/>
      <c r="R38" s="151"/>
      <c r="S38" s="485"/>
      <c r="T38" s="151"/>
      <c r="U38" s="151"/>
      <c r="V38" s="485"/>
      <c r="W38" s="151"/>
      <c r="X38" s="151"/>
      <c r="Y38" s="151"/>
    </row>
    <row r="39" spans="2:25" ht="12.75" customHeight="1" x14ac:dyDescent="0.25">
      <c r="B39" s="380" t="s">
        <v>335</v>
      </c>
      <c r="C39" s="327" t="s">
        <v>332</v>
      </c>
      <c r="D39" s="327" t="s">
        <v>330</v>
      </c>
      <c r="E39" s="404">
        <f>E13+E25</f>
        <v>107518.43040898709</v>
      </c>
      <c r="F39" s="18"/>
      <c r="G39" s="589"/>
      <c r="H39" s="404">
        <f>H13+H25</f>
        <v>695107.96126807667</v>
      </c>
      <c r="I39" s="18"/>
      <c r="J39" s="589"/>
      <c r="K39" s="404">
        <f>K13+K25</f>
        <v>0</v>
      </c>
      <c r="L39" s="18"/>
      <c r="M39" s="377"/>
      <c r="O39" s="588"/>
      <c r="P39" s="485"/>
      <c r="Q39" s="151"/>
      <c r="R39" s="600"/>
      <c r="S39" s="485"/>
      <c r="T39" s="151"/>
      <c r="U39" s="600"/>
      <c r="V39" s="485"/>
      <c r="W39" s="151"/>
      <c r="X39" s="151"/>
      <c r="Y39" s="151"/>
    </row>
    <row r="40" spans="2:25" ht="12.75" customHeight="1" x14ac:dyDescent="0.25">
      <c r="B40" s="383" t="s">
        <v>336</v>
      </c>
      <c r="C40" s="325" t="s">
        <v>322</v>
      </c>
      <c r="D40" s="365" t="s">
        <v>171</v>
      </c>
      <c r="E40" s="405">
        <f>E14+E26</f>
        <v>7971.2539140481731</v>
      </c>
      <c r="F40" s="283"/>
      <c r="G40" s="370"/>
      <c r="H40" s="405">
        <f>H14+H26</f>
        <v>44142.115594384028</v>
      </c>
      <c r="I40" s="283"/>
      <c r="J40" s="370"/>
      <c r="K40" s="405">
        <f>K14+K26</f>
        <v>0</v>
      </c>
      <c r="L40" s="283"/>
      <c r="M40" s="387"/>
      <c r="O40" s="165"/>
      <c r="P40" s="485"/>
      <c r="Q40" s="151"/>
      <c r="R40" s="151"/>
      <c r="S40" s="485"/>
      <c r="T40" s="151"/>
      <c r="U40" s="151"/>
      <c r="V40" s="485"/>
      <c r="W40" s="151"/>
      <c r="X40" s="151"/>
      <c r="Y40" s="151"/>
    </row>
    <row r="41" spans="2:25" ht="12.75" customHeight="1" thickBot="1" x14ac:dyDescent="0.3">
      <c r="B41" s="384"/>
      <c r="C41" s="385"/>
      <c r="D41" s="391" t="s">
        <v>277</v>
      </c>
      <c r="E41" s="411">
        <f>SUM(E34:E40)</f>
        <v>225998.00250655939</v>
      </c>
      <c r="F41" s="410">
        <f>F15+F27</f>
        <v>774809.50293221534</v>
      </c>
      <c r="G41" s="400">
        <f>E41/F41</f>
        <v>0.29168202203417082</v>
      </c>
      <c r="H41" s="411">
        <f>SUM(H34:H40)</f>
        <v>861900.34223779174</v>
      </c>
      <c r="I41" s="410">
        <f>I15+I27</f>
        <v>1338162.1010711258</v>
      </c>
      <c r="J41" s="400">
        <f>H41/I41</f>
        <v>0.64409262640743414</v>
      </c>
      <c r="K41" s="411">
        <f>SUM(K34:K40)</f>
        <v>273821.10095376876</v>
      </c>
      <c r="L41" s="410">
        <f>L15+L27</f>
        <v>3441790.5287772743</v>
      </c>
      <c r="M41" s="401">
        <f>K41/L41</f>
        <v>7.9557747243568039E-2</v>
      </c>
      <c r="O41" s="83"/>
      <c r="P41" s="601"/>
      <c r="Q41" s="602"/>
      <c r="R41" s="603"/>
      <c r="S41" s="601"/>
      <c r="T41" s="602"/>
      <c r="U41" s="603"/>
      <c r="V41" s="601"/>
      <c r="W41" s="602"/>
      <c r="X41" s="603"/>
      <c r="Y41" s="484"/>
    </row>
    <row r="42" spans="2:25" ht="5.0999999999999996" customHeight="1" x14ac:dyDescent="0.25">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x14ac:dyDescent="0.3">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6" x14ac:dyDescent="0.3">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x14ac:dyDescent="0.25">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x14ac:dyDescent="0.25">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x14ac:dyDescent="0.25">
      <c r="B47" s="386" t="s">
        <v>567</v>
      </c>
      <c r="C47" s="283"/>
      <c r="D47" s="513" t="s">
        <v>277</v>
      </c>
      <c r="E47" s="405">
        <f>'Table 3.13-COA Costs'!L79</f>
        <v>80117.157429523766</v>
      </c>
      <c r="F47" s="10">
        <f>'Table 3.13-COA Costs'!D79</f>
        <v>33160.127</v>
      </c>
      <c r="G47" s="468">
        <f>E47/F47</f>
        <v>2.4160690768622137</v>
      </c>
      <c r="H47" s="405">
        <v>0</v>
      </c>
      <c r="I47" s="10">
        <v>0</v>
      </c>
      <c r="J47" s="468">
        <v>0</v>
      </c>
      <c r="K47" s="405">
        <f>E47+H47</f>
        <v>80117.157429523766</v>
      </c>
      <c r="L47" s="10">
        <f>F47+I47</f>
        <v>33160.127</v>
      </c>
      <c r="M47" s="527">
        <f>G47+J47</f>
        <v>2.4160690768622137</v>
      </c>
      <c r="O47" s="173"/>
      <c r="P47" s="485"/>
      <c r="Q47" s="492"/>
      <c r="R47" s="488"/>
      <c r="S47" s="485"/>
      <c r="T47" s="492"/>
      <c r="U47" s="488"/>
      <c r="V47" s="485"/>
      <c r="W47" s="492"/>
      <c r="X47" s="603"/>
      <c r="Y47" s="484"/>
    </row>
    <row r="48" spans="2:25" ht="5.0999999999999996" customHeight="1" x14ac:dyDescent="0.25">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x14ac:dyDescent="0.25">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x14ac:dyDescent="0.25">
      <c r="B50" s="425" t="s">
        <v>769</v>
      </c>
      <c r="C50" s="18"/>
      <c r="D50" s="18"/>
      <c r="E50" s="404">
        <f>SUM('Table 3.25-REC Summary'!L8:L10)+'Table 3.19-CFS UAA'!J47</f>
        <v>14304.534588817753</v>
      </c>
      <c r="F50" s="324">
        <f>SUM('Table 3.23-CIOSS Summary'!C8:C10)</f>
        <v>237142.63199999998</v>
      </c>
      <c r="G50" s="518">
        <f>E50/F50</f>
        <v>6.0320383847379047E-2</v>
      </c>
      <c r="H50" s="404">
        <f>'Table 3.19-CFS UAA'!J16</f>
        <v>24964.054662395592</v>
      </c>
      <c r="I50" s="324">
        <f>'Table 3.19-CFS UAA'!B16</f>
        <v>49249.128680374633</v>
      </c>
      <c r="J50" s="518">
        <f>H50/I50</f>
        <v>0.50689332646698293</v>
      </c>
      <c r="K50" s="404">
        <f t="shared" ref="K50:L52" si="0">E50+H50</f>
        <v>39268.589251213343</v>
      </c>
      <c r="L50" s="324">
        <f t="shared" si="0"/>
        <v>286391.76068037463</v>
      </c>
      <c r="M50" s="528">
        <f>K50/L50</f>
        <v>0.13711494059020349</v>
      </c>
      <c r="O50" s="83"/>
      <c r="P50" s="485"/>
      <c r="Q50" s="492"/>
      <c r="R50" s="488"/>
      <c r="S50" s="485"/>
      <c r="T50" s="492"/>
      <c r="U50" s="488"/>
      <c r="V50" s="485"/>
      <c r="W50" s="492"/>
      <c r="X50" s="488"/>
      <c r="Y50" s="151"/>
    </row>
    <row r="51" spans="2:25" x14ac:dyDescent="0.25">
      <c r="B51" s="425" t="s">
        <v>770</v>
      </c>
      <c r="C51" s="18"/>
      <c r="D51" s="18"/>
      <c r="E51" s="404">
        <f>SUM('Table 3.25-REC Summary'!L12:L13)+'Table 3.19-CFS UAA'!J60</f>
        <v>22235.847089217037</v>
      </c>
      <c r="F51" s="324">
        <f>SUM('Table 3.23-CIOSS Summary'!C12:C13)</f>
        <v>383386.32454093278</v>
      </c>
      <c r="G51" s="518">
        <f>E51/F51</f>
        <v>5.7998540025761915E-2</v>
      </c>
      <c r="H51" s="404">
        <f>'Table 3.19-CFS UAA'!J29</f>
        <v>17035.384357537594</v>
      </c>
      <c r="I51" s="324">
        <f>'Table 3.19-CFS UAA'!B29</f>
        <v>41869.315940070679</v>
      </c>
      <c r="J51" s="518">
        <f>H51/I51</f>
        <v>0.40687037691088768</v>
      </c>
      <c r="K51" s="404">
        <f t="shared" si="0"/>
        <v>39271.231446754631</v>
      </c>
      <c r="L51" s="324">
        <f t="shared" si="0"/>
        <v>425255.64048100344</v>
      </c>
      <c r="M51" s="528">
        <f>K51/L51</f>
        <v>9.234734994304894E-2</v>
      </c>
      <c r="O51" s="83"/>
      <c r="P51" s="485"/>
      <c r="Q51" s="492"/>
      <c r="R51" s="488"/>
      <c r="S51" s="485"/>
      <c r="T51" s="492"/>
      <c r="U51" s="488"/>
      <c r="V51" s="485"/>
      <c r="W51" s="492"/>
      <c r="X51" s="488"/>
      <c r="Y51" s="151"/>
    </row>
    <row r="52" spans="2:25" x14ac:dyDescent="0.25">
      <c r="B52" s="426" t="s">
        <v>771</v>
      </c>
      <c r="C52" s="283"/>
      <c r="D52" s="370"/>
      <c r="E52" s="405">
        <v>0</v>
      </c>
      <c r="F52" s="10">
        <f>SUM('Table 3.18-Nixie UAA'!D10:D11)+SUM('Table 3.24-CIOSS Detail'!E15:E16)</f>
        <v>383386.32454093278</v>
      </c>
      <c r="G52" s="468">
        <v>0</v>
      </c>
      <c r="H52" s="405">
        <f>SUM('Table 3.18-Nixie UAA'!I26:I27)</f>
        <v>15497.045740912494</v>
      </c>
      <c r="I52" s="10">
        <f>SUM('Table 3.18-Nixie UAA'!D26:D27)</f>
        <v>41869.315940070679</v>
      </c>
      <c r="J52" s="468">
        <f>H52/I52</f>
        <v>0.37012894509893762</v>
      </c>
      <c r="K52" s="405">
        <f t="shared" si="0"/>
        <v>15497.045740912494</v>
      </c>
      <c r="L52" s="10">
        <f t="shared" si="0"/>
        <v>425255.64048100344</v>
      </c>
      <c r="M52" s="535">
        <f>K52/L52</f>
        <v>3.6441717089005336E-2</v>
      </c>
      <c r="O52" s="83"/>
      <c r="P52" s="485"/>
      <c r="Q52" s="492"/>
      <c r="R52" s="488"/>
      <c r="S52" s="485"/>
      <c r="T52" s="492"/>
      <c r="U52" s="488"/>
      <c r="V52" s="485"/>
      <c r="W52" s="492"/>
      <c r="X52" s="488"/>
      <c r="Y52" s="151"/>
    </row>
    <row r="53" spans="2:25" x14ac:dyDescent="0.25">
      <c r="B53" s="381"/>
      <c r="C53" s="18"/>
      <c r="D53" s="512" t="s">
        <v>277</v>
      </c>
      <c r="E53" s="412">
        <f>SUM(E50:E52)</f>
        <v>36540.381678034792</v>
      </c>
      <c r="F53" s="282">
        <f>SUM(F50:F51)</f>
        <v>620528.95654093276</v>
      </c>
      <c r="G53" s="468">
        <f>E53/F53</f>
        <v>5.888586067236079E-2</v>
      </c>
      <c r="H53" s="412">
        <f>SUM(H50:H52)</f>
        <v>57496.484760845677</v>
      </c>
      <c r="I53" s="282">
        <f>SUM(I50:I51)</f>
        <v>91118.444620445312</v>
      </c>
      <c r="J53" s="468">
        <f>H53/I53</f>
        <v>0.63100818939949854</v>
      </c>
      <c r="K53" s="405">
        <f>SUM(K50:K52)</f>
        <v>94036.866438880475</v>
      </c>
      <c r="L53" s="10">
        <f>SUM(L50:L51)</f>
        <v>711647.40116137802</v>
      </c>
      <c r="M53" s="527">
        <f>K53/L53</f>
        <v>0.1321396892413523</v>
      </c>
      <c r="O53" s="173"/>
      <c r="P53" s="601"/>
      <c r="Q53" s="602"/>
      <c r="R53" s="488"/>
      <c r="S53" s="601"/>
      <c r="T53" s="602"/>
      <c r="U53" s="488"/>
      <c r="V53" s="485"/>
      <c r="W53" s="492"/>
      <c r="X53" s="603"/>
      <c r="Y53" s="484"/>
    </row>
    <row r="54" spans="2:25" ht="5.0999999999999996" customHeight="1" x14ac:dyDescent="0.25">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x14ac:dyDescent="0.25">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x14ac:dyDescent="0.25">
      <c r="B56" s="388" t="s">
        <v>327</v>
      </c>
      <c r="C56" s="18"/>
      <c r="D56" s="18"/>
      <c r="E56" s="404">
        <f>F56*G56</f>
        <v>37362.465181593863</v>
      </c>
      <c r="F56" s="324">
        <f>SUM('Table 3.11-Form3547 Costs'!H6,'Table 3.11-Form3547 Costs'!H13,'Table 3.11-Form3547 Costs'!H19)</f>
        <v>55129.602973233006</v>
      </c>
      <c r="G56" s="518">
        <f>'Table 3.11-Form3547 Costs'!P21</f>
        <v>0.67772055604562231</v>
      </c>
      <c r="H56" s="404">
        <f>I56*J56</f>
        <v>11584.633204908729</v>
      </c>
      <c r="I56" s="324">
        <f>SUM('Table 3.11-Form3547 Costs'!H28:H29,'Table 3.11-Form3547 Costs'!H36:H37,'Table 3.11-Form3547 Costs'!H43)</f>
        <v>7487.2521995854659</v>
      </c>
      <c r="J56" s="518">
        <f>'Table 3.11-Form3547 Costs'!P45</f>
        <v>1.5472476278480529</v>
      </c>
      <c r="K56" s="404">
        <f>E56+H56</f>
        <v>48947.098386502592</v>
      </c>
      <c r="L56" s="324">
        <f>F56+I56</f>
        <v>62616.855172818468</v>
      </c>
      <c r="M56" s="528">
        <f>K56/L56</f>
        <v>0.78169205801555774</v>
      </c>
      <c r="O56" s="83"/>
      <c r="P56" s="485"/>
      <c r="Q56" s="492"/>
      <c r="R56" s="488"/>
      <c r="S56" s="485"/>
      <c r="T56" s="492"/>
      <c r="U56" s="488"/>
      <c r="V56" s="485"/>
      <c r="W56" s="492"/>
      <c r="X56" s="488"/>
      <c r="Y56" s="151"/>
    </row>
    <row r="57" spans="2:25" x14ac:dyDescent="0.25">
      <c r="B57" s="389" t="s">
        <v>328</v>
      </c>
      <c r="C57" s="283"/>
      <c r="D57" s="370"/>
      <c r="E57" s="405">
        <v>0</v>
      </c>
      <c r="F57" s="10">
        <v>0</v>
      </c>
      <c r="G57" s="468">
        <v>0</v>
      </c>
      <c r="H57" s="405">
        <f>I57*J57</f>
        <v>11927.550984333806</v>
      </c>
      <c r="I57" s="10">
        <f>SUM('Table 3.12-Form3579 Costs'!H7:H8)</f>
        <v>10470.733843707356</v>
      </c>
      <c r="J57" s="468">
        <f>'Table 3.12-Form3579 Costs'!P12</f>
        <v>1.1391322864635662</v>
      </c>
      <c r="K57" s="405">
        <f>E57+H57</f>
        <v>11927.550984333806</v>
      </c>
      <c r="L57" s="10">
        <f>F57+I57</f>
        <v>10470.733843707356</v>
      </c>
      <c r="M57" s="535">
        <f>K57/L57</f>
        <v>1.1391322864635662</v>
      </c>
      <c r="O57" s="83"/>
      <c r="P57" s="485"/>
      <c r="Q57" s="492"/>
      <c r="R57" s="488"/>
      <c r="S57" s="485"/>
      <c r="T57" s="492"/>
      <c r="U57" s="488"/>
      <c r="V57" s="485"/>
      <c r="W57" s="492"/>
      <c r="X57" s="488"/>
      <c r="Y57" s="151"/>
    </row>
    <row r="58" spans="2:25" ht="13.8" thickBot="1" x14ac:dyDescent="0.3">
      <c r="B58" s="384"/>
      <c r="C58" s="385"/>
      <c r="D58" s="391" t="s">
        <v>277</v>
      </c>
      <c r="E58" s="529">
        <f>SUM(E56:E57)</f>
        <v>37362.465181593863</v>
      </c>
      <c r="F58" s="530">
        <f>SUM(F56:F57)</f>
        <v>55129.602973233006</v>
      </c>
      <c r="G58" s="531">
        <f>E58/F58</f>
        <v>0.67772055604562231</v>
      </c>
      <c r="H58" s="529">
        <f>SUM(H56:H57)</f>
        <v>23512.184189242536</v>
      </c>
      <c r="I58" s="530">
        <f>SUM(I56:I57)</f>
        <v>17957.986043292822</v>
      </c>
      <c r="J58" s="531">
        <f>H58/I58</f>
        <v>1.3092884765897326</v>
      </c>
      <c r="K58" s="532">
        <f>SUM(K56:K57)</f>
        <v>60874.6493708364</v>
      </c>
      <c r="L58" s="533">
        <f>SUM(L56:L57)</f>
        <v>73087.589016525832</v>
      </c>
      <c r="M58" s="534">
        <f>K58/L58</f>
        <v>0.83289995182454346</v>
      </c>
      <c r="O58" s="173"/>
      <c r="P58" s="601"/>
      <c r="Q58" s="602"/>
      <c r="R58" s="488"/>
      <c r="S58" s="601"/>
      <c r="T58" s="602"/>
      <c r="U58" s="488"/>
      <c r="V58" s="485"/>
      <c r="W58" s="492"/>
      <c r="X58" s="603"/>
      <c r="Y58" s="484"/>
    </row>
    <row r="59" spans="2:25" ht="5.0999999999999996" customHeight="1" thickBot="1" x14ac:dyDescent="0.3">
      <c r="P59" s="151"/>
      <c r="Q59" s="151"/>
      <c r="R59" s="151"/>
      <c r="S59" s="151"/>
      <c r="T59" s="151"/>
      <c r="U59" s="151"/>
      <c r="V59" s="151"/>
      <c r="W59" s="151"/>
      <c r="X59" s="151"/>
      <c r="Y59" s="151"/>
    </row>
    <row r="60" spans="2:25" ht="12.75" customHeight="1" thickBot="1" x14ac:dyDescent="0.3">
      <c r="C60" s="539"/>
      <c r="D60" s="540" t="s">
        <v>538</v>
      </c>
      <c r="E60" s="541">
        <f>SUM(E15,H15,K15)+SUM(E47,E53,E58)</f>
        <v>1061278.9694458102</v>
      </c>
      <c r="F60" s="542"/>
      <c r="G60" s="542"/>
      <c r="H60" s="541">
        <f>SUM(E27,H27,K27)+SUM(H47,H53,H58)</f>
        <v>535469.14949155028</v>
      </c>
      <c r="I60" s="542"/>
      <c r="J60" s="542"/>
      <c r="K60" s="541">
        <f>E60+H60</f>
        <v>1596748.1189373606</v>
      </c>
      <c r="L60" s="542"/>
      <c r="M60" s="543"/>
      <c r="O60" s="588"/>
      <c r="P60" s="601"/>
      <c r="Q60" s="151"/>
      <c r="R60" s="151"/>
      <c r="S60" s="601"/>
      <c r="T60" s="151"/>
      <c r="U60" s="151"/>
      <c r="V60" s="601"/>
      <c r="W60" s="151"/>
      <c r="X60" s="151"/>
      <c r="Y60" s="484"/>
    </row>
    <row r="61" spans="2:25" ht="12.75" hidden="1" customHeight="1" x14ac:dyDescent="0.25">
      <c r="D61" s="332"/>
      <c r="E61" s="53"/>
      <c r="F61" s="6"/>
      <c r="G61" s="6"/>
      <c r="H61" s="6"/>
      <c r="I61" s="6"/>
      <c r="J61" s="6"/>
      <c r="K61" s="6"/>
      <c r="L61" s="6"/>
      <c r="P61" s="151"/>
      <c r="Q61" s="151"/>
      <c r="R61" s="151"/>
      <c r="S61" s="151"/>
      <c r="T61" s="151"/>
      <c r="U61" s="151"/>
      <c r="V61" s="151"/>
      <c r="W61" s="151"/>
      <c r="X61" s="151"/>
      <c r="Y61" s="151"/>
    </row>
    <row r="62" spans="2:25" hidden="1" x14ac:dyDescent="0.25">
      <c r="D62" s="332"/>
      <c r="E62" s="52"/>
      <c r="P62" s="151"/>
      <c r="Q62" s="151"/>
      <c r="R62" s="151"/>
      <c r="S62" s="151"/>
      <c r="T62" s="151"/>
      <c r="U62" s="151"/>
      <c r="V62" s="151"/>
      <c r="W62" s="151"/>
      <c r="X62" s="151"/>
      <c r="Y62" s="151"/>
    </row>
    <row r="63" spans="2:25" hidden="1" x14ac:dyDescent="0.25">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2:25" hidden="1" x14ac:dyDescent="0.25">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2:25" hidden="1" x14ac:dyDescent="0.25">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2:25" hidden="1" x14ac:dyDescent="0.25">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2:25" hidden="1" x14ac:dyDescent="0.25">
      <c r="D67" s="48"/>
      <c r="E67" s="352"/>
      <c r="F67" s="352"/>
      <c r="G67" s="352"/>
      <c r="H67" s="352"/>
      <c r="I67" s="352"/>
      <c r="J67" s="352"/>
      <c r="K67" s="352"/>
      <c r="L67" s="352"/>
      <c r="M67" s="352"/>
      <c r="P67" s="151"/>
      <c r="Q67" s="151"/>
      <c r="R67" s="151"/>
      <c r="S67" s="151"/>
      <c r="T67" s="151"/>
      <c r="U67" s="151"/>
      <c r="V67" s="151"/>
      <c r="W67" s="151"/>
      <c r="X67" s="151"/>
      <c r="Y67" s="151"/>
    </row>
    <row r="68" spans="2:25" hidden="1" x14ac:dyDescent="0.25">
      <c r="D68" s="48"/>
      <c r="E68" s="352"/>
      <c r="F68" s="352"/>
      <c r="G68" s="352"/>
      <c r="H68" s="352"/>
      <c r="I68" s="352"/>
      <c r="J68" s="352"/>
      <c r="K68" s="352"/>
      <c r="L68" s="352"/>
      <c r="M68" s="352"/>
      <c r="P68" s="151"/>
      <c r="Q68" s="151"/>
      <c r="R68" s="151"/>
      <c r="S68" s="151"/>
      <c r="T68" s="151"/>
      <c r="U68" s="151"/>
      <c r="V68" s="151"/>
      <c r="W68" s="151"/>
      <c r="X68" s="151"/>
      <c r="Y68" s="151"/>
    </row>
    <row r="69" spans="2:25" hidden="1" x14ac:dyDescent="0.25">
      <c r="F69" s="27"/>
      <c r="G69" s="342" t="s">
        <v>351</v>
      </c>
      <c r="H69" s="32">
        <f>SUM('Table 3.2-Total Fwd Summary'!F34,'Table 3.5-Total RTS Summary'!F38,'Table 3.8-Total Wst Summary'!F19)</f>
        <v>1361719.4456981199</v>
      </c>
      <c r="I69" s="32">
        <f>SUM(E41,H41,K41)</f>
        <v>1361719.4456981199</v>
      </c>
      <c r="J69" s="138">
        <f t="shared" ref="J69:J74" si="1">H69-I69</f>
        <v>0</v>
      </c>
      <c r="K69" s="352"/>
      <c r="L69" s="352"/>
      <c r="M69" s="482" t="s">
        <v>311</v>
      </c>
      <c r="N69" s="6">
        <f>SUM('Table 3.14-Route UAA'!J103,'Table 3.14-Route UAA'!J109,'Table 3.14-Route UAA'!J111)</f>
        <v>186883.74572008423</v>
      </c>
      <c r="O69" s="6">
        <f t="shared" ref="O69:O75" si="2">E34+H34+K34</f>
        <v>186883.74572008423</v>
      </c>
      <c r="P69" s="515"/>
      <c r="Q69" s="151"/>
      <c r="R69" s="151"/>
      <c r="S69" s="151"/>
      <c r="T69" s="151"/>
      <c r="U69" s="151"/>
      <c r="V69" s="151"/>
      <c r="W69" s="151"/>
      <c r="X69" s="151"/>
      <c r="Y69" s="151"/>
    </row>
    <row r="70" spans="2:25" hidden="1" x14ac:dyDescent="0.25">
      <c r="F70" s="27"/>
      <c r="G70" s="342" t="s">
        <v>352</v>
      </c>
      <c r="H70" s="32">
        <f>'Table 3.13-COA Costs'!D79*'Table 3.13-COA Costs'!N79</f>
        <v>80117.157429523766</v>
      </c>
      <c r="I70" s="32">
        <f>K47</f>
        <v>80117.157429523766</v>
      </c>
      <c r="J70" s="138">
        <f t="shared" si="1"/>
        <v>0</v>
      </c>
      <c r="K70" s="352"/>
      <c r="L70" s="352"/>
      <c r="M70" s="46" t="s">
        <v>312</v>
      </c>
      <c r="N70" s="6">
        <f>'Table 3.18-Nixie UAA'!I40+'Table 3.31-Rating Post Due'!H27-SUM('Table 3.18-Nixie UAA'!I26:I27)</f>
        <v>83170.627340970415</v>
      </c>
      <c r="O70" s="6">
        <f t="shared" si="2"/>
        <v>83170.627340970415</v>
      </c>
      <c r="P70" s="515"/>
      <c r="Q70" s="151"/>
      <c r="R70" s="151"/>
      <c r="S70" s="151"/>
      <c r="T70" s="151"/>
      <c r="U70" s="151"/>
      <c r="V70" s="151"/>
      <c r="W70" s="151"/>
      <c r="X70" s="151"/>
      <c r="Y70" s="151"/>
    </row>
    <row r="71" spans="2:25" hidden="1" x14ac:dyDescent="0.25">
      <c r="F71" s="27"/>
      <c r="G71" s="347" t="s">
        <v>774</v>
      </c>
      <c r="H71" s="32">
        <f>SUM('Table 3.27-REC Detail ACS'!K49:K50)+SUM('Table 3.19-CFS UAA'!J16,'Table 3.19-CFS UAA'!J29,'Table 3.19-CFS UAA'!J47,'Table 3.19-CFS UAA'!J60)+SUM('Table 3.18-Nixie UAA'!I26:I27)</f>
        <v>94036.866438880461</v>
      </c>
      <c r="I71" s="32">
        <f>K53</f>
        <v>94036.866438880475</v>
      </c>
      <c r="J71" s="138">
        <f t="shared" si="1"/>
        <v>0</v>
      </c>
      <c r="K71" s="352"/>
      <c r="L71" s="352"/>
      <c r="M71" s="46" t="s">
        <v>313</v>
      </c>
      <c r="N71" s="6">
        <f>SUM('Table 3.19-CFS UAA'!J77,'Table 3.19-CFS UAA'!J90)+SUM('Table 3.20-CFS Non-CIOSS'!H45,'Table 3.20-CFS Non-CIOSS'!H50,'Table 3.20-CFS Non-CIOSS'!H56,'Table 3.20-CFS Non-CIOSS'!H61)</f>
        <v>43960.326945874163</v>
      </c>
      <c r="O71" s="6">
        <f t="shared" si="2"/>
        <v>43960.326945874163</v>
      </c>
      <c r="P71" s="515"/>
      <c r="Q71" s="151"/>
      <c r="R71" s="151"/>
      <c r="S71" s="151"/>
      <c r="T71" s="151"/>
      <c r="U71" s="151"/>
      <c r="V71" s="151"/>
      <c r="W71" s="151"/>
      <c r="X71" s="151"/>
      <c r="Y71" s="151"/>
    </row>
    <row r="72" spans="2:25" hidden="1" x14ac:dyDescent="0.25">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60874.6493708364</v>
      </c>
      <c r="I72" s="32">
        <f>K58</f>
        <v>60874.6493708364</v>
      </c>
      <c r="J72" s="138">
        <f t="shared" si="1"/>
        <v>0</v>
      </c>
      <c r="K72" s="352"/>
      <c r="L72" s="352"/>
      <c r="M72" s="483" t="s">
        <v>502</v>
      </c>
      <c r="N72" s="6">
        <f>'Table 3.23-CIOSS Summary'!I14</f>
        <v>100385.14697145906</v>
      </c>
      <c r="O72" s="6">
        <f t="shared" si="2"/>
        <v>100385.14697145906</v>
      </c>
      <c r="P72" s="515"/>
      <c r="Q72" s="151"/>
      <c r="R72" s="151"/>
      <c r="S72" s="151"/>
      <c r="T72" s="151"/>
      <c r="U72" s="151"/>
      <c r="V72" s="151"/>
      <c r="W72" s="151"/>
      <c r="X72" s="151"/>
      <c r="Y72" s="151"/>
    </row>
    <row r="73" spans="2:25" hidden="1" x14ac:dyDescent="0.25">
      <c r="F73" s="27"/>
      <c r="G73" s="342" t="s">
        <v>354</v>
      </c>
      <c r="H73" s="32"/>
      <c r="I73" s="32"/>
      <c r="J73" s="138">
        <f t="shared" si="1"/>
        <v>0</v>
      </c>
      <c r="K73" s="352"/>
      <c r="L73" s="352"/>
      <c r="M73" s="483" t="s">
        <v>503</v>
      </c>
      <c r="N73" s="6">
        <f>SUM('Table 3.25-REC Summary'!K14:K14)</f>
        <v>92579.837534236096</v>
      </c>
      <c r="O73" s="6">
        <f t="shared" si="2"/>
        <v>92579.837534236111</v>
      </c>
      <c r="P73" s="515"/>
      <c r="Q73" s="151"/>
      <c r="R73" s="151"/>
      <c r="S73" s="151"/>
      <c r="T73" s="151"/>
      <c r="U73" s="151"/>
      <c r="V73" s="151"/>
      <c r="W73" s="151"/>
      <c r="X73" s="151"/>
      <c r="Y73" s="151"/>
    </row>
    <row r="74" spans="2:25" hidden="1" x14ac:dyDescent="0.25">
      <c r="F74" s="27"/>
      <c r="G74" s="342"/>
      <c r="H74" s="32">
        <f>SUM(H69:H73)</f>
        <v>1596748.1189373606</v>
      </c>
      <c r="I74" s="32">
        <f>SUM(I69:I73)</f>
        <v>1596748.1189373606</v>
      </c>
      <c r="J74" s="138">
        <f t="shared" si="1"/>
        <v>0</v>
      </c>
      <c r="K74" s="352"/>
      <c r="L74" s="352"/>
      <c r="M74" s="67" t="s">
        <v>518</v>
      </c>
      <c r="N74" s="6">
        <f>SUMPRODUCT('Table 3.29-UAA MP Units'!G6:G7,'Table 3.29-UAA MP Units'!G27:G28)</f>
        <v>802626.39167706342</v>
      </c>
      <c r="O74" s="6">
        <f t="shared" si="2"/>
        <v>802626.39167706377</v>
      </c>
      <c r="P74" s="515"/>
      <c r="Q74" s="151"/>
      <c r="R74" s="151"/>
      <c r="S74" s="151"/>
      <c r="T74" s="151"/>
      <c r="U74" s="151"/>
      <c r="V74" s="151"/>
      <c r="W74" s="151"/>
      <c r="X74" s="151"/>
      <c r="Y74" s="151"/>
    </row>
    <row r="75" spans="2:25" hidden="1" x14ac:dyDescent="0.25">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52113.369508432217</v>
      </c>
      <c r="O75" s="6">
        <f t="shared" si="2"/>
        <v>52113.369508432203</v>
      </c>
      <c r="P75" s="515"/>
      <c r="Q75" s="151"/>
      <c r="R75" s="151"/>
      <c r="S75" s="151"/>
      <c r="T75" s="151"/>
      <c r="U75" s="151"/>
      <c r="V75" s="151"/>
      <c r="W75" s="151"/>
      <c r="X75" s="151"/>
      <c r="Y75" s="151"/>
    </row>
    <row r="76" spans="2:25" hidden="1" x14ac:dyDescent="0.25">
      <c r="G76" s="48"/>
      <c r="H76" s="165"/>
      <c r="I76" s="165"/>
      <c r="J76" s="165"/>
      <c r="K76" s="352"/>
      <c r="L76" s="352"/>
      <c r="M76" s="46" t="s">
        <v>314</v>
      </c>
      <c r="N76" s="6">
        <f>SUM(N69:N75)</f>
        <v>1361719.4456981195</v>
      </c>
      <c r="O76" s="6">
        <f>SUM(O69:O75)</f>
        <v>1361719.4456981199</v>
      </c>
      <c r="P76" s="515"/>
      <c r="Q76" s="151"/>
      <c r="R76" s="151"/>
      <c r="S76" s="151"/>
      <c r="T76" s="151"/>
      <c r="U76" s="151"/>
      <c r="V76" s="151"/>
      <c r="W76" s="151"/>
      <c r="X76" s="151"/>
      <c r="Y76" s="151"/>
    </row>
    <row r="77" spans="2:25" x14ac:dyDescent="0.25">
      <c r="B77" s="283"/>
      <c r="C77" s="283"/>
      <c r="D77" s="283"/>
      <c r="E77" s="326"/>
      <c r="F77" s="326"/>
      <c r="G77" s="283"/>
      <c r="H77" s="283"/>
      <c r="I77" s="283"/>
      <c r="J77" s="283"/>
      <c r="K77" s="283"/>
      <c r="P77" s="151"/>
      <c r="Q77" s="151"/>
      <c r="R77" s="151"/>
      <c r="S77" s="151"/>
      <c r="T77" s="151"/>
      <c r="U77" s="151"/>
      <c r="V77" s="151"/>
      <c r="W77" s="151"/>
      <c r="X77" s="151"/>
      <c r="Y77" s="151"/>
    </row>
    <row r="78" spans="2:25" x14ac:dyDescent="0.25">
      <c r="B78" t="s">
        <v>235</v>
      </c>
      <c r="P78" s="608"/>
      <c r="Q78" s="151"/>
      <c r="R78" s="151"/>
      <c r="S78" s="151"/>
      <c r="T78" s="151"/>
      <c r="U78" s="151"/>
      <c r="V78" s="151"/>
      <c r="W78" s="151"/>
      <c r="X78" s="151"/>
      <c r="Y78" s="151"/>
    </row>
    <row r="79" spans="2:25" x14ac:dyDescent="0.25">
      <c r="B79" s="12" t="s">
        <v>568</v>
      </c>
      <c r="G79" s="12" t="s">
        <v>27</v>
      </c>
    </row>
    <row r="80" spans="2:25" x14ac:dyDescent="0.25">
      <c r="B80" s="12" t="s">
        <v>569</v>
      </c>
      <c r="G80" s="12" t="s">
        <v>573</v>
      </c>
    </row>
    <row r="81" spans="2:7" x14ac:dyDescent="0.25">
      <c r="B81" s="12" t="s">
        <v>570</v>
      </c>
      <c r="G81" s="12" t="s">
        <v>28</v>
      </c>
    </row>
    <row r="82" spans="2:7" x14ac:dyDescent="0.25">
      <c r="B82" s="13" t="s">
        <v>776</v>
      </c>
      <c r="G82" s="12" t="s">
        <v>29</v>
      </c>
    </row>
    <row r="83" spans="2:7" x14ac:dyDescent="0.25">
      <c r="B83" s="12" t="s">
        <v>777</v>
      </c>
      <c r="G83" s="12" t="s">
        <v>617</v>
      </c>
    </row>
    <row r="84" spans="2:7" x14ac:dyDescent="0.25">
      <c r="B84" s="12" t="s">
        <v>571</v>
      </c>
      <c r="G84" s="12" t="s">
        <v>47</v>
      </c>
    </row>
    <row r="85" spans="2:7" x14ac:dyDescent="0.25">
      <c r="B85" s="12" t="s">
        <v>572</v>
      </c>
    </row>
  </sheetData>
  <phoneticPr fontId="5" type="noConversion"/>
  <printOptions horizontalCentered="1"/>
  <pageMargins left="0.75" right="0.75" top="1" bottom="1" header="0.5" footer="0.5"/>
  <pageSetup scale="57" orientation="landscape" r:id="rId1"/>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4"/>
  <dimension ref="A1:S136"/>
  <sheetViews>
    <sheetView zoomScale="70" zoomScaleNormal="70" workbookViewId="0"/>
  </sheetViews>
  <sheetFormatPr defaultColWidth="9.109375" defaultRowHeight="13.2" x14ac:dyDescent="0.25"/>
  <cols>
    <col min="1" max="1" width="31.5546875" style="11" customWidth="1"/>
    <col min="2" max="2" width="11.6640625" customWidth="1"/>
    <col min="3" max="3" width="2.6640625" customWidth="1"/>
    <col min="4" max="4" width="11.6640625" style="64" customWidth="1"/>
    <col min="5" max="5" width="2.6640625" style="64" customWidth="1"/>
    <col min="6" max="6" width="11.6640625" style="64" customWidth="1"/>
    <col min="7" max="7" width="2.6640625" style="64" customWidth="1"/>
    <col min="8" max="8" width="11.6640625" style="78" customWidth="1"/>
    <col min="9" max="9" width="2.6640625" style="78" customWidth="1"/>
    <col min="10" max="11" width="11.6640625" style="64" customWidth="1"/>
    <col min="12" max="16384" width="9.109375" style="11"/>
  </cols>
  <sheetData>
    <row r="1" spans="1:11" ht="15.75" customHeight="1" x14ac:dyDescent="0.3">
      <c r="A1" s="158" t="s">
        <v>559</v>
      </c>
      <c r="D1" s="24"/>
      <c r="E1" s="24"/>
      <c r="F1" s="24"/>
      <c r="G1" s="24"/>
      <c r="H1" s="24"/>
      <c r="I1" s="24"/>
      <c r="J1" s="24"/>
      <c r="K1" s="24"/>
    </row>
    <row r="2" spans="1:11" ht="15.6" x14ac:dyDescent="0.3">
      <c r="A2" s="158" t="s">
        <v>787</v>
      </c>
      <c r="D2" s="24"/>
      <c r="E2" s="24"/>
      <c r="F2" s="24"/>
      <c r="G2" s="24"/>
      <c r="H2" s="24"/>
      <c r="I2" s="24"/>
      <c r="J2" s="24"/>
      <c r="K2" s="24"/>
    </row>
    <row r="3" spans="1:11" ht="25.5" customHeight="1" x14ac:dyDescent="0.25">
      <c r="A3" s="89"/>
      <c r="B3" s="168" t="s">
        <v>222</v>
      </c>
      <c r="C3" s="168"/>
      <c r="D3" s="189" t="s">
        <v>217</v>
      </c>
      <c r="E3" s="189"/>
      <c r="F3" s="198" t="s">
        <v>104</v>
      </c>
      <c r="G3" s="198"/>
      <c r="H3" s="199" t="s">
        <v>251</v>
      </c>
      <c r="I3" s="199"/>
      <c r="J3" s="160" t="s">
        <v>218</v>
      </c>
      <c r="K3" s="41" t="s">
        <v>133</v>
      </c>
    </row>
    <row r="4" spans="1:11" ht="15.6" x14ac:dyDescent="0.3">
      <c r="A4" s="158" t="s">
        <v>434</v>
      </c>
      <c r="B4" s="168"/>
      <c r="C4" s="168"/>
      <c r="D4" s="189"/>
      <c r="E4" s="189"/>
      <c r="F4" s="198"/>
      <c r="G4" s="198"/>
      <c r="H4" s="199"/>
      <c r="I4" s="199"/>
      <c r="J4" s="160"/>
      <c r="K4" s="41"/>
    </row>
    <row r="5" spans="1:11" ht="5.0999999999999996" customHeight="1" x14ac:dyDescent="0.3">
      <c r="A5" s="158"/>
      <c r="B5" s="168"/>
      <c r="C5" s="168"/>
      <c r="D5" s="189"/>
      <c r="E5" s="189"/>
      <c r="F5" s="198"/>
      <c r="G5" s="198"/>
      <c r="H5" s="199"/>
      <c r="I5" s="199"/>
      <c r="J5" s="160"/>
      <c r="K5" s="41"/>
    </row>
    <row r="6" spans="1:11" x14ac:dyDescent="0.25">
      <c r="A6" s="453" t="s">
        <v>291</v>
      </c>
      <c r="B6" s="168"/>
      <c r="C6" s="168"/>
      <c r="D6" s="189"/>
      <c r="E6" s="189"/>
      <c r="F6" s="198"/>
      <c r="G6" s="198"/>
      <c r="H6" s="199"/>
      <c r="I6" s="199"/>
      <c r="J6" s="160"/>
      <c r="K6" s="41"/>
    </row>
    <row r="7" spans="1:11" x14ac:dyDescent="0.25">
      <c r="A7" s="82" t="s">
        <v>173</v>
      </c>
      <c r="B7" s="6"/>
      <c r="C7" s="6"/>
      <c r="D7" s="52"/>
      <c r="E7" s="52"/>
      <c r="F7" s="86"/>
      <c r="G7" s="86"/>
      <c r="H7" s="104"/>
      <c r="I7" s="54"/>
      <c r="J7" s="39"/>
      <c r="K7" s="88"/>
    </row>
    <row r="8" spans="1:11" x14ac:dyDescent="0.25">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1.6624309879114112</v>
      </c>
      <c r="I8" s="54"/>
      <c r="J8" s="46">
        <f>D8*$H8</f>
        <v>0</v>
      </c>
      <c r="K8" s="83" t="str">
        <f>IF(ISERROR(J8/B8),"n/a",J8/B8)</f>
        <v>n/a</v>
      </c>
    </row>
    <row r="9" spans="1:11" x14ac:dyDescent="0.25">
      <c r="A9" s="338" t="s">
        <v>292</v>
      </c>
      <c r="B9" s="105">
        <f>SUM('Table 3.20-CFS Non-CIOSS'!B8,'Table 3.20-CFS Non-CIOSS'!B13,'Table 3.20-CFS Non-CIOSS'!B18)</f>
        <v>102283.46278978547</v>
      </c>
      <c r="C9" s="292" t="s">
        <v>238</v>
      </c>
      <c r="D9" s="196">
        <f>SUM('Table 3.20-CFS Non-CIOSS'!C8,'Table 3.20-CFS Non-CIOSS'!C13,'Table 3.20-CFS Non-CIOSS'!C18)</f>
        <v>17008.006399672391</v>
      </c>
      <c r="E9" s="292" t="s">
        <v>238</v>
      </c>
      <c r="F9" s="83">
        <f>IF(ISERROR(D9/B9),"n/a",D9/B9)</f>
        <v>0.16628305237013247</v>
      </c>
      <c r="G9" s="92"/>
      <c r="H9" s="54">
        <v>1.6624309879114112</v>
      </c>
      <c r="I9" s="54"/>
      <c r="J9" s="46">
        <f>D9*$H9</f>
        <v>28274.636881410977</v>
      </c>
      <c r="K9" s="83">
        <f>IF(ISERROR(J9/B9),"n/a",J9/B9)</f>
        <v>0.27643409902460425</v>
      </c>
    </row>
    <row r="10" spans="1:11" ht="5.0999999999999996" customHeight="1" x14ac:dyDescent="0.25">
      <c r="A10" s="89"/>
      <c r="B10" s="200"/>
      <c r="C10" s="200"/>
      <c r="D10" s="204"/>
      <c r="E10" s="200"/>
      <c r="F10" s="201"/>
      <c r="G10" s="198"/>
      <c r="H10" s="199"/>
      <c r="I10" s="199"/>
      <c r="J10" s="205"/>
      <c r="K10" s="83"/>
    </row>
    <row r="11" spans="1:11" x14ac:dyDescent="0.25">
      <c r="A11" s="82" t="s">
        <v>176</v>
      </c>
      <c r="B11" s="135"/>
      <c r="C11" s="135"/>
      <c r="D11" s="196"/>
      <c r="E11" s="135"/>
      <c r="F11" s="92"/>
      <c r="G11" s="48"/>
      <c r="H11" s="48"/>
      <c r="I11" s="48"/>
      <c r="J11" s="196"/>
      <c r="K11" s="92"/>
    </row>
    <row r="12" spans="1:11" x14ac:dyDescent="0.25">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1.6624309879114112</v>
      </c>
      <c r="I12" s="54"/>
      <c r="J12" s="46">
        <f>D12*$H12</f>
        <v>0</v>
      </c>
      <c r="K12" s="83" t="str">
        <f>IF(ISERROR(J12/B12),"n/a",J12/B12)</f>
        <v>n/a</v>
      </c>
    </row>
    <row r="13" spans="1:11" x14ac:dyDescent="0.25">
      <c r="A13" s="338" t="s">
        <v>292</v>
      </c>
      <c r="B13" s="105">
        <f>SUM('Table 3.20-CFS Non-CIOSS'!B24,'Table 3.20-CFS Non-CIOSS'!B29,'Table 3.20-CFS Non-CIOSS'!B34)</f>
        <v>49249.128680374633</v>
      </c>
      <c r="C13" s="292" t="s">
        <v>238</v>
      </c>
      <c r="D13" s="196">
        <f>SUM('Table 3.20-CFS Non-CIOSS'!C24,'Table 3.20-CFS Non-CIOSS'!C29,'Table 3.20-CFS Non-CIOSS'!C34)</f>
        <v>15016.596083641996</v>
      </c>
      <c r="E13" s="292" t="s">
        <v>238</v>
      </c>
      <c r="F13" s="83">
        <f>IF(ISERROR(D13/B13),"n/a",D13/B13)</f>
        <v>0.30491089864958332</v>
      </c>
      <c r="G13" s="92"/>
      <c r="H13" s="54">
        <v>1.6624309879114112</v>
      </c>
      <c r="I13" s="54"/>
      <c r="J13" s="46">
        <f>D13*$H13</f>
        <v>24964.054662395592</v>
      </c>
      <c r="K13" s="83">
        <f>IF(ISERROR(J13/B13),"n/a",J13/B13)</f>
        <v>0.50689332646698293</v>
      </c>
    </row>
    <row r="14" spans="1:11" ht="5.0999999999999996" customHeight="1" x14ac:dyDescent="0.25">
      <c r="A14" s="89"/>
      <c r="B14" s="200"/>
      <c r="C14" s="200"/>
      <c r="D14" s="204"/>
      <c r="E14" s="204"/>
      <c r="F14" s="201"/>
      <c r="G14" s="198"/>
      <c r="H14" s="199"/>
      <c r="I14" s="199"/>
      <c r="J14" s="205"/>
      <c r="K14" s="83"/>
    </row>
    <row r="15" spans="1:11" x14ac:dyDescent="0.25">
      <c r="A15" s="338" t="s">
        <v>177</v>
      </c>
      <c r="B15" s="44">
        <f>SUM(B8:B9)</f>
        <v>102283.46278978547</v>
      </c>
      <c r="C15" s="44"/>
      <c r="D15" s="196">
        <f>SUM(D8:D9)</f>
        <v>17008.006399672391</v>
      </c>
      <c r="E15" s="196"/>
      <c r="F15" s="83">
        <f>IF(ISERROR(D15/B15),"n/a",D15/B15)</f>
        <v>0.16628305237013247</v>
      </c>
      <c r="G15" s="41"/>
      <c r="H15" s="75"/>
      <c r="I15" s="75"/>
      <c r="J15" s="46">
        <f>SUM(J8:J9)</f>
        <v>28274.636881410977</v>
      </c>
      <c r="K15" s="83">
        <f>IF(ISERROR(J15/B15),"n/a",J15/B15)</f>
        <v>0.27643409902460425</v>
      </c>
    </row>
    <row r="16" spans="1:11" x14ac:dyDescent="0.25">
      <c r="A16" s="338" t="s">
        <v>178</v>
      </c>
      <c r="B16" s="44">
        <f>SUM(B12:B13)</f>
        <v>49249.128680374633</v>
      </c>
      <c r="C16" s="44"/>
      <c r="D16" s="196">
        <f>SUM(D12:D13)</f>
        <v>15016.596083641996</v>
      </c>
      <c r="E16" s="196"/>
      <c r="F16" s="83">
        <f>IF(ISERROR(D16/B16),"n/a",D16/B16)</f>
        <v>0.30491089864958332</v>
      </c>
      <c r="G16" s="202"/>
      <c r="H16" s="203"/>
      <c r="I16" s="203"/>
      <c r="J16" s="46">
        <f>SUM(J12:J13)</f>
        <v>24964.054662395592</v>
      </c>
      <c r="K16" s="83">
        <f>IF(ISERROR(J16/B16),"n/a",J16/B16)</f>
        <v>0.50689332646698293</v>
      </c>
    </row>
    <row r="17" spans="1:19" x14ac:dyDescent="0.25">
      <c r="A17" s="338" t="s">
        <v>102</v>
      </c>
      <c r="B17" s="44">
        <f>B15</f>
        <v>102283.46278978547</v>
      </c>
      <c r="C17" s="44"/>
      <c r="D17" s="196">
        <f>SUM(D16,D15)</f>
        <v>32024.602483314389</v>
      </c>
      <c r="E17" s="196"/>
      <c r="F17" s="83">
        <f>IF(ISERROR(D17/B17),"n/a",D17/B17)</f>
        <v>0.31309658091192943</v>
      </c>
      <c r="G17" s="41"/>
      <c r="H17" s="75"/>
      <c r="I17" s="75"/>
      <c r="J17" s="46">
        <f>SUM(J16,J15)</f>
        <v>53238.69154380657</v>
      </c>
      <c r="K17" s="83">
        <f>IF(ISERROR(J17/B17),"n/a",J17/B17)</f>
        <v>0.52050145831710393</v>
      </c>
    </row>
    <row r="18" spans="1:19" x14ac:dyDescent="0.25">
      <c r="A18" s="16"/>
      <c r="B18" s="44"/>
      <c r="C18" s="44"/>
      <c r="D18" s="196"/>
      <c r="E18" s="196"/>
      <c r="F18" s="83"/>
      <c r="G18" s="41"/>
      <c r="H18" s="75"/>
      <c r="I18" s="75"/>
      <c r="J18" s="46"/>
      <c r="K18" s="83"/>
    </row>
    <row r="19" spans="1:19" x14ac:dyDescent="0.25">
      <c r="A19" s="15" t="s">
        <v>782</v>
      </c>
      <c r="B19" s="44"/>
      <c r="C19" s="285"/>
      <c r="D19" s="196"/>
      <c r="E19" s="285"/>
      <c r="F19" s="83"/>
      <c r="G19" s="41"/>
      <c r="H19" s="54"/>
      <c r="I19" s="75"/>
      <c r="J19" s="46"/>
      <c r="K19" s="83"/>
      <c r="M19" s="140"/>
      <c r="N19" s="140"/>
      <c r="O19" s="140"/>
      <c r="P19" s="140"/>
      <c r="Q19" s="140"/>
      <c r="R19" s="140"/>
      <c r="S19" s="140"/>
    </row>
    <row r="20" spans="1:19" x14ac:dyDescent="0.25">
      <c r="A20" s="82" t="s">
        <v>173</v>
      </c>
      <c r="B20" s="44"/>
      <c r="C20" s="285"/>
      <c r="D20" s="196"/>
      <c r="E20" s="285"/>
      <c r="F20" s="83"/>
      <c r="G20" s="41"/>
      <c r="H20" s="54"/>
      <c r="I20" s="75"/>
      <c r="J20" s="46"/>
      <c r="K20" s="83"/>
      <c r="M20" s="140"/>
      <c r="N20" s="140"/>
      <c r="O20" s="140"/>
      <c r="P20" s="140"/>
      <c r="Q20" s="140"/>
      <c r="R20" s="140"/>
      <c r="S20" s="140"/>
    </row>
    <row r="21" spans="1:19" x14ac:dyDescent="0.25">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1.6624309879114112</v>
      </c>
      <c r="I21" s="75"/>
      <c r="J21" s="46">
        <f>D21*$H21</f>
        <v>0</v>
      </c>
      <c r="K21" s="83" t="str">
        <f>IF(ISERROR(J21/B21),"n/a",J21/B21)</f>
        <v>n/a</v>
      </c>
      <c r="M21" s="140"/>
      <c r="N21" s="140"/>
      <c r="O21" s="140"/>
      <c r="P21" s="140"/>
      <c r="Q21" s="140"/>
      <c r="R21" s="140"/>
      <c r="S21" s="140"/>
    </row>
    <row r="22" spans="1:19" x14ac:dyDescent="0.25">
      <c r="A22" s="338" t="s">
        <v>292</v>
      </c>
      <c r="B22" s="44">
        <f>SUM('Table 3.20-CFS Non-CIOSS'!B70,'Table 3.20-CFS Non-CIOSS'!B75)</f>
        <v>41869.315940070679</v>
      </c>
      <c r="C22" s="292" t="s">
        <v>238</v>
      </c>
      <c r="D22" s="196">
        <f>SUM('Table 3.20-CFS Non-CIOSS'!C70,'Table 3.20-CFS Non-CIOSS'!C75)</f>
        <v>559.16304580049245</v>
      </c>
      <c r="E22" s="292" t="s">
        <v>238</v>
      </c>
      <c r="F22" s="83">
        <f>IF(ISERROR(D22/B22),"n/a",D22/B22)</f>
        <v>1.3354960147924226E-2</v>
      </c>
      <c r="G22" s="41"/>
      <c r="H22" s="54">
        <v>1.6624309879114112</v>
      </c>
      <c r="I22" s="75"/>
      <c r="J22" s="46">
        <f>D22*$H22</f>
        <v>929.56997463366633</v>
      </c>
      <c r="K22" s="83">
        <f>IF(ISERROR(J22/B22),"n/a",J22/B22)</f>
        <v>2.2201699592231196E-2</v>
      </c>
      <c r="M22" s="140"/>
      <c r="N22" s="140"/>
      <c r="O22" s="140"/>
      <c r="P22" s="140"/>
      <c r="Q22" s="140"/>
      <c r="R22" s="140"/>
      <c r="S22" s="140"/>
    </row>
    <row r="23" spans="1:19" ht="5.0999999999999996" customHeight="1" x14ac:dyDescent="0.25">
      <c r="A23" s="89"/>
      <c r="B23" s="44"/>
      <c r="C23" s="285"/>
      <c r="D23" s="44"/>
      <c r="E23" s="285"/>
      <c r="F23" s="83"/>
      <c r="G23" s="41"/>
      <c r="H23" s="54"/>
      <c r="I23" s="75"/>
      <c r="J23" s="44"/>
      <c r="K23" s="83"/>
      <c r="M23" s="140"/>
      <c r="N23" s="140"/>
      <c r="O23" s="140"/>
      <c r="P23" s="140"/>
      <c r="Q23" s="140"/>
      <c r="R23" s="140"/>
      <c r="S23" s="140"/>
    </row>
    <row r="24" spans="1:19" x14ac:dyDescent="0.25">
      <c r="A24" s="82" t="s">
        <v>176</v>
      </c>
      <c r="B24" s="44"/>
      <c r="C24" s="285"/>
      <c r="D24" s="44"/>
      <c r="E24" s="285"/>
      <c r="F24" s="83"/>
      <c r="G24" s="41"/>
      <c r="H24" s="54"/>
      <c r="I24" s="75"/>
      <c r="J24" s="44"/>
      <c r="K24" s="83"/>
      <c r="M24" s="140"/>
      <c r="N24" s="140"/>
      <c r="O24" s="140"/>
      <c r="P24" s="140"/>
      <c r="Q24" s="140"/>
      <c r="R24" s="140"/>
      <c r="S24" s="140"/>
    </row>
    <row r="25" spans="1:19" x14ac:dyDescent="0.25">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1.6624309879114112</v>
      </c>
      <c r="I25" s="75"/>
      <c r="J25" s="46">
        <f>D25*$H25</f>
        <v>0</v>
      </c>
      <c r="K25" s="83" t="str">
        <f>IF(ISERROR(J25/B25),"n/a",J25/B25)</f>
        <v>n/a</v>
      </c>
      <c r="M25" s="140"/>
      <c r="N25" s="140"/>
      <c r="O25" s="140"/>
      <c r="P25" s="140"/>
      <c r="Q25" s="140"/>
      <c r="R25" s="140"/>
      <c r="S25" s="140"/>
    </row>
    <row r="26" spans="1:19" x14ac:dyDescent="0.25">
      <c r="A26" s="338" t="s">
        <v>292</v>
      </c>
      <c r="B26" s="44">
        <f>SUM('Table 3.20-CFS Non-CIOSS'!B81,'Table 3.20-CFS Non-CIOSS'!B86)</f>
        <v>41869.315940070679</v>
      </c>
      <c r="C26" s="292" t="s">
        <v>238</v>
      </c>
      <c r="D26" s="196">
        <f>SUM('Table 3.20-CFS Non-CIOSS'!C81,'Table 3.20-CFS Non-CIOSS'!C86)</f>
        <v>10247.273108726116</v>
      </c>
      <c r="E26" s="292" t="s">
        <v>238</v>
      </c>
      <c r="F26" s="83">
        <f>IF(ISERROR(D26/B26),"n/a",D26/B26)</f>
        <v>0.24474422088465622</v>
      </c>
      <c r="G26" s="41"/>
      <c r="H26" s="54">
        <v>1.6624309879114112</v>
      </c>
      <c r="I26" s="75"/>
      <c r="J26" s="46">
        <f>D26*$H26</f>
        <v>17035.384357537594</v>
      </c>
      <c r="K26" s="83">
        <f>IF(ISERROR(J26/B26),"n/a",J26/B26)</f>
        <v>0.40687037691088768</v>
      </c>
      <c r="M26" s="140"/>
      <c r="N26" s="140"/>
      <c r="O26" s="140"/>
      <c r="P26" s="140"/>
      <c r="Q26" s="140"/>
      <c r="R26" s="140"/>
      <c r="S26" s="140"/>
    </row>
    <row r="27" spans="1:19" ht="5.0999999999999996" customHeight="1" x14ac:dyDescent="0.25">
      <c r="A27" s="89"/>
      <c r="B27" s="44"/>
      <c r="C27" s="285"/>
      <c r="D27" s="196"/>
      <c r="E27" s="285"/>
      <c r="F27" s="83"/>
      <c r="G27" s="41"/>
      <c r="H27" s="54"/>
      <c r="I27" s="75"/>
      <c r="J27" s="46"/>
      <c r="K27" s="83"/>
      <c r="M27" s="140"/>
      <c r="N27" s="140"/>
      <c r="O27" s="140"/>
      <c r="P27" s="140"/>
      <c r="Q27" s="140"/>
      <c r="R27" s="140"/>
      <c r="S27" s="140"/>
    </row>
    <row r="28" spans="1:19" x14ac:dyDescent="0.25">
      <c r="A28" s="338" t="s">
        <v>177</v>
      </c>
      <c r="B28" s="44">
        <f>SUM(B21:B22)</f>
        <v>41869.315940070679</v>
      </c>
      <c r="C28" s="285"/>
      <c r="D28" s="196">
        <f>SUM(D21:D22)</f>
        <v>559.16304580049245</v>
      </c>
      <c r="E28" s="285"/>
      <c r="F28" s="83">
        <f>IF(ISERROR(D28/B28),"n/a",D28/B28)</f>
        <v>1.3354960147924226E-2</v>
      </c>
      <c r="G28" s="41"/>
      <c r="H28" s="54">
        <v>1.6624309879114112</v>
      </c>
      <c r="I28" s="75"/>
      <c r="J28" s="46">
        <f>D28*$H28</f>
        <v>929.56997463366633</v>
      </c>
      <c r="K28" s="83">
        <f>IF(ISERROR(J28/B28),"n/a",J28/B28)</f>
        <v>2.2201699592231196E-2</v>
      </c>
      <c r="M28" s="140"/>
      <c r="N28" s="140"/>
      <c r="O28" s="140"/>
      <c r="P28" s="140"/>
      <c r="Q28" s="140"/>
      <c r="R28" s="140"/>
      <c r="S28" s="140"/>
    </row>
    <row r="29" spans="1:19" x14ac:dyDescent="0.25">
      <c r="A29" s="338" t="s">
        <v>178</v>
      </c>
      <c r="B29" s="44">
        <f>SUM(B25:B26)</f>
        <v>41869.315940070679</v>
      </c>
      <c r="C29" s="285"/>
      <c r="D29" s="196">
        <f>SUM(D25:D26)</f>
        <v>10247.273108726116</v>
      </c>
      <c r="E29" s="285"/>
      <c r="F29" s="83">
        <f>IF(ISERROR(D29/B29),"n/a",D29/B29)</f>
        <v>0.24474422088465622</v>
      </c>
      <c r="G29" s="41"/>
      <c r="H29" s="54">
        <v>1.6624309879114112</v>
      </c>
      <c r="I29" s="75"/>
      <c r="J29" s="46">
        <f>D29*$H29</f>
        <v>17035.384357537594</v>
      </c>
      <c r="K29" s="83">
        <f>IF(ISERROR(J29/B29),"n/a",J29/B29)</f>
        <v>0.40687037691088768</v>
      </c>
      <c r="M29" s="140"/>
      <c r="N29" s="140"/>
      <c r="O29" s="140"/>
      <c r="P29" s="140"/>
      <c r="Q29" s="140"/>
      <c r="R29" s="140"/>
      <c r="S29" s="140"/>
    </row>
    <row r="30" spans="1:19" ht="12.75" customHeight="1" x14ac:dyDescent="0.25">
      <c r="A30" s="338" t="s">
        <v>102</v>
      </c>
      <c r="B30" s="44">
        <f>B29</f>
        <v>41869.315940070679</v>
      </c>
      <c r="C30" s="285"/>
      <c r="D30" s="196">
        <f>SUM(D28:D29)</f>
        <v>10806.436154526609</v>
      </c>
      <c r="E30" s="285"/>
      <c r="F30" s="83">
        <f>IF(ISERROR(D30/B30),"n/a",D30/B30)</f>
        <v>0.25809918103258045</v>
      </c>
      <c r="G30" s="41"/>
      <c r="H30" s="54"/>
      <c r="I30" s="75"/>
      <c r="J30" s="46">
        <f>SUM(J28:J29)</f>
        <v>17964.954332171259</v>
      </c>
      <c r="K30" s="83">
        <f>IF(ISERROR(J30/B30),"n/a",J30/B30)</f>
        <v>0.42907207650311885</v>
      </c>
      <c r="M30" s="140"/>
    </row>
    <row r="31" spans="1:19" ht="12.75" customHeight="1" x14ac:dyDescent="0.25">
      <c r="A31" s="343"/>
      <c r="B31" s="44"/>
      <c r="C31" s="285"/>
      <c r="D31" s="196"/>
      <c r="E31" s="285"/>
      <c r="F31" s="83"/>
      <c r="G31" s="41"/>
      <c r="H31" s="54"/>
      <c r="I31" s="75"/>
      <c r="J31" s="46"/>
      <c r="K31" s="83"/>
      <c r="M31" s="140"/>
    </row>
    <row r="32" spans="1:19" ht="15.75" customHeight="1" x14ac:dyDescent="0.3">
      <c r="A32" s="158" t="s">
        <v>647</v>
      </c>
      <c r="D32" s="24"/>
      <c r="E32" s="24"/>
      <c r="F32" s="24"/>
      <c r="G32" s="24"/>
      <c r="H32" s="24"/>
      <c r="I32" s="24"/>
      <c r="J32" s="24"/>
      <c r="K32" s="24"/>
      <c r="M32" s="140"/>
    </row>
    <row r="33" spans="1:13" ht="15.75" customHeight="1" x14ac:dyDescent="0.3">
      <c r="A33" s="158" t="s">
        <v>787</v>
      </c>
      <c r="D33" s="24"/>
      <c r="E33" s="24"/>
      <c r="F33" s="24"/>
      <c r="G33" s="24"/>
      <c r="H33" s="24"/>
      <c r="I33" s="24"/>
      <c r="J33" s="24"/>
      <c r="K33" s="24"/>
      <c r="M33" s="140"/>
    </row>
    <row r="34" spans="1:13" ht="25.5" customHeight="1" x14ac:dyDescent="0.25">
      <c r="A34" s="89"/>
      <c r="B34" s="168" t="s">
        <v>222</v>
      </c>
      <c r="C34" s="168"/>
      <c r="D34" s="189" t="s">
        <v>217</v>
      </c>
      <c r="E34" s="189"/>
      <c r="F34" s="198" t="s">
        <v>104</v>
      </c>
      <c r="G34" s="198"/>
      <c r="H34" s="199" t="s">
        <v>251</v>
      </c>
      <c r="I34" s="199"/>
      <c r="J34" s="160" t="s">
        <v>218</v>
      </c>
      <c r="K34" s="41" t="s">
        <v>133</v>
      </c>
      <c r="M34" s="140"/>
    </row>
    <row r="35" spans="1:13" ht="15.6" x14ac:dyDescent="0.3">
      <c r="A35" s="158" t="s">
        <v>435</v>
      </c>
      <c r="B35" s="168"/>
      <c r="C35" s="168"/>
      <c r="D35" s="189"/>
      <c r="E35" s="189"/>
      <c r="F35" s="198"/>
      <c r="G35" s="198"/>
      <c r="H35" s="199"/>
      <c r="I35" s="199"/>
      <c r="J35" s="160"/>
      <c r="K35" s="41"/>
      <c r="M35" s="140"/>
    </row>
    <row r="36" spans="1:13" ht="5.0999999999999996" customHeight="1" x14ac:dyDescent="0.3">
      <c r="A36" s="158"/>
      <c r="B36" s="168"/>
      <c r="C36" s="168"/>
      <c r="D36" s="189"/>
      <c r="E36" s="189"/>
      <c r="F36" s="198"/>
      <c r="G36" s="198"/>
      <c r="H36" s="199"/>
      <c r="I36" s="199"/>
      <c r="J36" s="160"/>
      <c r="K36" s="41"/>
      <c r="M36" s="140"/>
    </row>
    <row r="37" spans="1:13" x14ac:dyDescent="0.25">
      <c r="A37" s="453" t="s">
        <v>291</v>
      </c>
      <c r="B37" s="168"/>
      <c r="C37" s="168"/>
      <c r="D37" s="189"/>
      <c r="E37" s="189"/>
      <c r="F37" s="198"/>
      <c r="G37" s="198"/>
      <c r="H37" s="199"/>
      <c r="I37" s="199"/>
      <c r="J37" s="160"/>
      <c r="K37" s="41"/>
      <c r="M37" s="140"/>
    </row>
    <row r="38" spans="1:13" x14ac:dyDescent="0.25">
      <c r="A38" s="82" t="s">
        <v>173</v>
      </c>
      <c r="B38" s="6"/>
      <c r="C38" s="6"/>
      <c r="D38" s="52"/>
      <c r="E38" s="52"/>
      <c r="F38" s="86"/>
      <c r="G38" s="86"/>
      <c r="H38" s="104"/>
      <c r="I38" s="54"/>
      <c r="J38" s="39"/>
      <c r="K38" s="88"/>
      <c r="M38" s="140"/>
    </row>
    <row r="39" spans="1:13" x14ac:dyDescent="0.25">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1.6624309879114112</v>
      </c>
      <c r="I39" s="54"/>
      <c r="J39" s="46">
        <f>D39*$H39</f>
        <v>0</v>
      </c>
      <c r="K39" s="83" t="str">
        <f>IF(ISERROR(J39/B39),"n/a",J39/B39)</f>
        <v>n/a</v>
      </c>
      <c r="M39" s="140"/>
    </row>
    <row r="40" spans="1:13" x14ac:dyDescent="0.25">
      <c r="A40" s="338" t="s">
        <v>292</v>
      </c>
      <c r="B40" s="105">
        <f>SUM('Table 3.21-CFS CIOSS Rejs'!B8,'Table 3.21-CFS CIOSS Rejs'!B13,'Table 3.21-CFS CIOSS Rejs'!B18)</f>
        <v>46467.022425844596</v>
      </c>
      <c r="C40" s="292" t="s">
        <v>240</v>
      </c>
      <c r="D40" s="196">
        <f>SUM('Table 3.21-CFS CIOSS Rejs'!C8,'Table 3.21-CFS CIOSS Rejs'!C13,'Table 3.21-CFS CIOSS Rejs'!C18)</f>
        <v>7704.7160154071653</v>
      </c>
      <c r="E40" s="292" t="s">
        <v>240</v>
      </c>
      <c r="F40" s="83">
        <f>IF(ISERROR(D40/B40),"n/a",D40/B40)</f>
        <v>0.16581040947271591</v>
      </c>
      <c r="G40" s="92"/>
      <c r="H40" s="54">
        <v>1.6624309879114112</v>
      </c>
      <c r="I40" s="54"/>
      <c r="J40" s="46">
        <f>D40*$H40</f>
        <v>12808.558657070205</v>
      </c>
      <c r="K40" s="83">
        <f>IF(ISERROR(J40/B40),"n/a",J40/B40)</f>
        <v>0.27564836282572269</v>
      </c>
      <c r="M40" s="140"/>
    </row>
    <row r="41" spans="1:13" ht="5.0999999999999996" customHeight="1" x14ac:dyDescent="0.25">
      <c r="A41" s="89"/>
      <c r="B41" s="200"/>
      <c r="C41" s="200"/>
      <c r="D41" s="204"/>
      <c r="E41" s="200"/>
      <c r="F41" s="201"/>
      <c r="G41" s="198"/>
      <c r="H41" s="199"/>
      <c r="I41" s="199"/>
      <c r="J41" s="205"/>
      <c r="K41" s="83"/>
      <c r="M41" s="140"/>
    </row>
    <row r="42" spans="1:13" x14ac:dyDescent="0.25">
      <c r="A42" s="82" t="s">
        <v>176</v>
      </c>
      <c r="B42" s="135"/>
      <c r="C42" s="135"/>
      <c r="D42" s="196"/>
      <c r="E42" s="135"/>
      <c r="F42" s="92"/>
      <c r="G42" s="48"/>
      <c r="H42" s="48"/>
      <c r="I42" s="48"/>
      <c r="J42" s="196"/>
      <c r="K42" s="92"/>
      <c r="M42" s="140"/>
    </row>
    <row r="43" spans="1:13" x14ac:dyDescent="0.25">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1.6624309879114112</v>
      </c>
      <c r="I43" s="54"/>
      <c r="J43" s="46">
        <f>D43*$H43</f>
        <v>0</v>
      </c>
      <c r="K43" s="83" t="str">
        <f>IF(ISERROR(J43/B43),"n/a",J43/B43)</f>
        <v>n/a</v>
      </c>
      <c r="M43" s="140"/>
    </row>
    <row r="44" spans="1:13" x14ac:dyDescent="0.25">
      <c r="A44" s="338" t="s">
        <v>292</v>
      </c>
      <c r="B44" s="105">
        <f>SUM('Table 3.21-CFS CIOSS Rejs'!B24,'Table 3.21-CFS CIOSS Rejs'!B29,'Table 3.21-CFS CIOSS Rejs'!B34)</f>
        <v>3557.1394799999989</v>
      </c>
      <c r="C44" s="292" t="s">
        <v>240</v>
      </c>
      <c r="D44" s="196">
        <f>SUM('Table 3.21-CFS CIOSS Rejs'!C24,'Table 3.21-CFS CIOSS Rejs'!C29,'Table 3.21-CFS CIOSS Rejs'!C34)</f>
        <v>1084.6105954687118</v>
      </c>
      <c r="E44" s="292" t="s">
        <v>240</v>
      </c>
      <c r="F44" s="83">
        <f>IF(ISERROR(D44/B44),"n/a",D44/B44)</f>
        <v>0.30491089864958348</v>
      </c>
      <c r="G44" s="92"/>
      <c r="H44" s="54">
        <v>1.6624309879114112</v>
      </c>
      <c r="I44" s="54"/>
      <c r="J44" s="46">
        <f>D44*$H44</f>
        <v>1803.0902637242345</v>
      </c>
      <c r="K44" s="83">
        <f>IF(ISERROR(J44/B44),"n/a",J44/B44)</f>
        <v>0.50689332646698326</v>
      </c>
      <c r="M44" s="140"/>
    </row>
    <row r="45" spans="1:13" ht="5.0999999999999996" customHeight="1" x14ac:dyDescent="0.25">
      <c r="A45" s="89"/>
      <c r="B45" s="200"/>
      <c r="C45" s="200"/>
      <c r="D45" s="204"/>
      <c r="E45" s="200"/>
      <c r="F45" s="201"/>
      <c r="G45" s="198"/>
      <c r="H45" s="199"/>
      <c r="I45" s="199"/>
      <c r="J45" s="205"/>
      <c r="K45" s="83"/>
      <c r="M45" s="140"/>
    </row>
    <row r="46" spans="1:13" x14ac:dyDescent="0.25">
      <c r="A46" s="338" t="s">
        <v>177</v>
      </c>
      <c r="B46" s="44">
        <f>SUM(B39:B40)</f>
        <v>46467.022425844596</v>
      </c>
      <c r="C46" s="44"/>
      <c r="D46" s="196">
        <f>SUM(D39:D40)</f>
        <v>7704.7160154071653</v>
      </c>
      <c r="E46" s="44"/>
      <c r="F46" s="83">
        <f>IF(ISERROR(D46/B46),"n/a",D46/B46)</f>
        <v>0.16581040947271591</v>
      </c>
      <c r="G46" s="41"/>
      <c r="H46" s="75"/>
      <c r="I46" s="75"/>
      <c r="J46" s="46">
        <f>SUM(J39:J40)</f>
        <v>12808.558657070205</v>
      </c>
      <c r="K46" s="83">
        <f>IF(ISERROR(J46/B46),"n/a",J46/B46)</f>
        <v>0.27564836282572269</v>
      </c>
      <c r="M46" s="140"/>
    </row>
    <row r="47" spans="1:13" x14ac:dyDescent="0.25">
      <c r="A47" s="338" t="s">
        <v>178</v>
      </c>
      <c r="B47" s="44">
        <f>SUM(B43:B44)</f>
        <v>3557.1394799999989</v>
      </c>
      <c r="C47" s="44"/>
      <c r="D47" s="196">
        <f>SUM(D43:D44)</f>
        <v>1084.6105954687118</v>
      </c>
      <c r="E47" s="44"/>
      <c r="F47" s="83">
        <f>IF(ISERROR(D47/B47),"n/a",D47/B47)</f>
        <v>0.30491089864958348</v>
      </c>
      <c r="G47" s="202"/>
      <c r="H47" s="203"/>
      <c r="I47" s="203"/>
      <c r="J47" s="46">
        <f>SUM(J43:J44)</f>
        <v>1803.0902637242345</v>
      </c>
      <c r="K47" s="83">
        <f>IF(ISERROR(J47/B47),"n/a",J47/B47)</f>
        <v>0.50689332646698326</v>
      </c>
      <c r="M47" s="140"/>
    </row>
    <row r="48" spans="1:13" x14ac:dyDescent="0.25">
      <c r="A48" s="338" t="s">
        <v>102</v>
      </c>
      <c r="B48" s="44">
        <f>B46</f>
        <v>46467.022425844596</v>
      </c>
      <c r="C48" s="44"/>
      <c r="D48" s="196">
        <f>SUM(D47,D46)</f>
        <v>8789.3266108758762</v>
      </c>
      <c r="E48" s="44"/>
      <c r="F48" s="83">
        <f>IF(ISERROR(D48/B48),"n/a",D48/B48)</f>
        <v>0.18915192220251498</v>
      </c>
      <c r="G48" s="41"/>
      <c r="H48" s="75"/>
      <c r="I48" s="75"/>
      <c r="J48" s="46">
        <f>SUM(J47,J46)</f>
        <v>14611.64892079444</v>
      </c>
      <c r="K48" s="83">
        <f>IF(ISERROR(J48/B48),"n/a",J48/B48)</f>
        <v>0.31445201689246943</v>
      </c>
      <c r="M48" s="140"/>
    </row>
    <row r="49" spans="1:13" x14ac:dyDescent="0.25">
      <c r="A49" s="16"/>
      <c r="B49" s="44"/>
      <c r="C49" s="44"/>
      <c r="D49" s="196"/>
      <c r="E49" s="44"/>
      <c r="F49" s="83"/>
      <c r="G49" s="41"/>
      <c r="H49" s="75"/>
      <c r="I49" s="75"/>
      <c r="J49" s="46"/>
      <c r="K49" s="83"/>
      <c r="M49" s="140"/>
    </row>
    <row r="50" spans="1:13" x14ac:dyDescent="0.25">
      <c r="A50" s="15" t="s">
        <v>782</v>
      </c>
      <c r="B50" s="44"/>
      <c r="C50" s="285"/>
      <c r="D50" s="196"/>
      <c r="E50" s="285"/>
      <c r="F50" s="83"/>
      <c r="G50" s="41"/>
      <c r="H50" s="54"/>
      <c r="I50" s="75"/>
      <c r="J50" s="46"/>
      <c r="K50" s="83"/>
      <c r="M50" s="140"/>
    </row>
    <row r="51" spans="1:13" x14ac:dyDescent="0.25">
      <c r="A51" s="82" t="s">
        <v>173</v>
      </c>
      <c r="B51" s="44"/>
      <c r="C51" s="285"/>
      <c r="D51" s="196"/>
      <c r="E51" s="285"/>
      <c r="F51" s="83"/>
      <c r="G51" s="41"/>
      <c r="H51" s="54"/>
      <c r="I51" s="75"/>
      <c r="J51" s="46"/>
      <c r="K51" s="83"/>
      <c r="M51" s="140"/>
    </row>
    <row r="52" spans="1:13" x14ac:dyDescent="0.25">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1.6624309879114112</v>
      </c>
      <c r="I52" s="75"/>
      <c r="J52" s="46">
        <f>D52*$H52</f>
        <v>0</v>
      </c>
      <c r="K52" s="83" t="str">
        <f>IF(ISERROR(J52/B52),"n/a",J52/B52)</f>
        <v>n/a</v>
      </c>
      <c r="M52" s="140"/>
    </row>
    <row r="53" spans="1:13" x14ac:dyDescent="0.25">
      <c r="A53" s="338" t="s">
        <v>292</v>
      </c>
      <c r="B53" s="44">
        <f>SUM('Table 3.21-CFS CIOSS Rejs'!B70,'Table 3.21-CFS CIOSS Rejs'!B75)</f>
        <v>5750.7948681139924</v>
      </c>
      <c r="C53" s="292" t="s">
        <v>240</v>
      </c>
      <c r="D53" s="196">
        <f>SUM('Table 3.21-CFS CIOSS Rejs'!C70,'Table 3.21-CFS CIOSS Rejs'!C75)</f>
        <v>76.801636282549055</v>
      </c>
      <c r="E53" s="292" t="s">
        <v>240</v>
      </c>
      <c r="F53" s="83">
        <f>IF(ISERROR(D53/B53),"n/a",D53/B53)</f>
        <v>1.3354960147924144E-2</v>
      </c>
      <c r="G53" s="41"/>
      <c r="H53" s="54">
        <v>1.6624309879114112</v>
      </c>
      <c r="I53" s="75"/>
      <c r="J53" s="46">
        <f>D53*$H53</f>
        <v>127.6774200784109</v>
      </c>
      <c r="K53" s="83">
        <f>IF(ISERROR(J53/B53),"n/a",J53/B53)</f>
        <v>2.2201699592231061E-2</v>
      </c>
      <c r="M53" s="140"/>
    </row>
    <row r="54" spans="1:13" ht="5.0999999999999996" customHeight="1" x14ac:dyDescent="0.25">
      <c r="A54" s="89"/>
      <c r="B54" s="44"/>
      <c r="C54" s="285"/>
      <c r="D54" s="44"/>
      <c r="E54" s="285"/>
      <c r="F54" s="83"/>
      <c r="G54" s="41"/>
      <c r="H54" s="54"/>
      <c r="I54" s="75"/>
      <c r="J54" s="44"/>
      <c r="K54" s="83"/>
      <c r="M54" s="140"/>
    </row>
    <row r="55" spans="1:13" x14ac:dyDescent="0.25">
      <c r="A55" s="82" t="s">
        <v>176</v>
      </c>
      <c r="B55" s="44"/>
      <c r="C55" s="285"/>
      <c r="D55" s="44"/>
      <c r="E55" s="285"/>
      <c r="F55" s="83"/>
      <c r="G55" s="41"/>
      <c r="H55" s="54"/>
      <c r="I55" s="75"/>
      <c r="J55" s="44"/>
      <c r="K55" s="83"/>
      <c r="M55" s="140"/>
    </row>
    <row r="56" spans="1:13" x14ac:dyDescent="0.25">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1.6624309879114112</v>
      </c>
      <c r="I56" s="75"/>
      <c r="J56" s="46">
        <f>D56*$H56</f>
        <v>0</v>
      </c>
      <c r="K56" s="83" t="str">
        <f>IF(ISERROR(J56/B56),"n/a",J56/B56)</f>
        <v>n/a</v>
      </c>
      <c r="M56" s="140"/>
    </row>
    <row r="57" spans="1:13" x14ac:dyDescent="0.25">
      <c r="A57" s="338" t="s">
        <v>292</v>
      </c>
      <c r="B57" s="44">
        <f>SUM('Table 3.21-CFS CIOSS Rejs'!B81,'Table 3.21-CFS CIOSS Rejs'!B86)</f>
        <v>5750.7948681139924</v>
      </c>
      <c r="C57" s="292" t="s">
        <v>240</v>
      </c>
      <c r="D57" s="196">
        <f>SUM('Table 3.21-CFS CIOSS Rejs'!C81,'Table 3.21-CFS CIOSS Rejs'!C86)</f>
        <v>1407.4738094640384</v>
      </c>
      <c r="E57" s="292" t="s">
        <v>240</v>
      </c>
      <c r="F57" s="83">
        <f>IF(ISERROR(D57/B57),"n/a",D57/B57)</f>
        <v>0.24474422088465622</v>
      </c>
      <c r="G57" s="41"/>
      <c r="H57" s="54">
        <v>1.6624309879114112</v>
      </c>
      <c r="I57" s="75"/>
      <c r="J57" s="46">
        <f>D57*$H57</f>
        <v>2339.8280755267388</v>
      </c>
      <c r="K57" s="83">
        <f>IF(ISERROR(J57/B57),"n/a",J57/B57)</f>
        <v>0.40687037691088768</v>
      </c>
      <c r="M57" s="140"/>
    </row>
    <row r="58" spans="1:13" ht="5.0999999999999996" customHeight="1" x14ac:dyDescent="0.25">
      <c r="A58" s="89"/>
      <c r="B58" s="44"/>
      <c r="C58" s="285"/>
      <c r="D58" s="196"/>
      <c r="E58" s="285"/>
      <c r="F58" s="83"/>
      <c r="G58" s="41"/>
      <c r="H58" s="54"/>
      <c r="I58" s="75"/>
      <c r="J58" s="46"/>
      <c r="K58" s="83"/>
      <c r="M58" s="140"/>
    </row>
    <row r="59" spans="1:13" x14ac:dyDescent="0.25">
      <c r="A59" s="338" t="s">
        <v>177</v>
      </c>
      <c r="B59" s="44">
        <f>SUM(B52:B53)</f>
        <v>5750.7948681139924</v>
      </c>
      <c r="C59" s="285"/>
      <c r="D59" s="196">
        <f>SUM(D52:D53)</f>
        <v>76.801636282549055</v>
      </c>
      <c r="E59" s="285"/>
      <c r="F59" s="83">
        <f>IF(ISERROR(D59/B59),"n/a",D59/B59)</f>
        <v>1.3354960147924144E-2</v>
      </c>
      <c r="G59" s="41"/>
      <c r="H59" s="54">
        <v>1.6624309879114112</v>
      </c>
      <c r="I59" s="75"/>
      <c r="J59" s="46">
        <f>D59*$H59</f>
        <v>127.6774200784109</v>
      </c>
      <c r="K59" s="83">
        <f>IF(ISERROR(J59/B59),"n/a",J59/B59)</f>
        <v>2.2201699592231061E-2</v>
      </c>
      <c r="M59" s="140"/>
    </row>
    <row r="60" spans="1:13" x14ac:dyDescent="0.25">
      <c r="A60" s="338" t="s">
        <v>178</v>
      </c>
      <c r="B60" s="44">
        <f>SUM(B56:B57)</f>
        <v>5750.7948681139924</v>
      </c>
      <c r="C60" s="285"/>
      <c r="D60" s="196">
        <f>SUM(D56:D57)</f>
        <v>1407.4738094640384</v>
      </c>
      <c r="E60" s="285"/>
      <c r="F60" s="83">
        <f>IF(ISERROR(D60/B60),"n/a",D60/B60)</f>
        <v>0.24474422088465622</v>
      </c>
      <c r="G60" s="41"/>
      <c r="H60" s="54">
        <v>1.6624309879114112</v>
      </c>
      <c r="I60" s="75"/>
      <c r="J60" s="46">
        <f>D60*$H60</f>
        <v>2339.8280755267388</v>
      </c>
      <c r="K60" s="83">
        <f>IF(ISERROR(J60/B60),"n/a",J60/B60)</f>
        <v>0.40687037691088768</v>
      </c>
      <c r="M60" s="140"/>
    </row>
    <row r="61" spans="1:13" x14ac:dyDescent="0.25">
      <c r="A61" s="338" t="s">
        <v>102</v>
      </c>
      <c r="B61" s="44">
        <f>B60</f>
        <v>5750.7948681139924</v>
      </c>
      <c r="C61" s="285"/>
      <c r="D61" s="196">
        <f>SUM(D59:D60)</f>
        <v>1484.2754457465874</v>
      </c>
      <c r="E61" s="285"/>
      <c r="F61" s="83">
        <f>IF(ISERROR(D61/B61),"n/a",D61/B61)</f>
        <v>0.25809918103258034</v>
      </c>
      <c r="G61" s="41"/>
      <c r="H61" s="54"/>
      <c r="I61" s="75"/>
      <c r="J61" s="46">
        <f>SUM(J59:J60)</f>
        <v>2467.5054956051495</v>
      </c>
      <c r="K61" s="83">
        <f>IF(ISERROR(J61/B61),"n/a",J61/B61)</f>
        <v>0.42907207650311874</v>
      </c>
    </row>
    <row r="62" spans="1:13" x14ac:dyDescent="0.25">
      <c r="A62" s="338"/>
      <c r="B62" s="44"/>
      <c r="C62" s="285"/>
      <c r="D62" s="196"/>
      <c r="E62" s="285"/>
      <c r="F62" s="83"/>
      <c r="G62" s="41"/>
      <c r="H62" s="54"/>
      <c r="I62" s="75"/>
      <c r="J62" s="46"/>
      <c r="K62" s="83"/>
    </row>
    <row r="63" spans="1:13" ht="15.6" x14ac:dyDescent="0.3">
      <c r="A63" s="158" t="s">
        <v>648</v>
      </c>
      <c r="D63" s="24"/>
      <c r="E63" s="24"/>
      <c r="F63" s="24"/>
      <c r="G63" s="24"/>
      <c r="H63" s="24"/>
      <c r="I63" s="24"/>
      <c r="J63" s="24"/>
      <c r="K63" s="24"/>
    </row>
    <row r="64" spans="1:13" ht="15.6" x14ac:dyDescent="0.3">
      <c r="A64" s="158" t="s">
        <v>787</v>
      </c>
      <c r="D64" s="24"/>
      <c r="E64" s="24"/>
      <c r="F64" s="24"/>
      <c r="G64" s="24"/>
      <c r="H64" s="24"/>
      <c r="I64" s="24"/>
      <c r="J64" s="24"/>
      <c r="K64" s="24"/>
    </row>
    <row r="65" spans="1:11" ht="26.4" x14ac:dyDescent="0.25">
      <c r="A65" s="89"/>
      <c r="B65" s="168" t="s">
        <v>222</v>
      </c>
      <c r="C65" s="168"/>
      <c r="D65" s="189" t="s">
        <v>217</v>
      </c>
      <c r="E65" s="189"/>
      <c r="F65" s="198" t="s">
        <v>104</v>
      </c>
      <c r="G65" s="198"/>
      <c r="H65" s="199" t="s">
        <v>251</v>
      </c>
      <c r="I65" s="199"/>
      <c r="J65" s="160" t="s">
        <v>218</v>
      </c>
      <c r="K65" s="41" t="s">
        <v>133</v>
      </c>
    </row>
    <row r="66" spans="1:11" ht="15.6" x14ac:dyDescent="0.3">
      <c r="A66" s="443" t="s">
        <v>436</v>
      </c>
      <c r="B66" s="168"/>
      <c r="C66" s="168"/>
      <c r="D66" s="189"/>
      <c r="E66" s="189"/>
      <c r="F66" s="198"/>
      <c r="G66" s="198"/>
      <c r="H66" s="199"/>
      <c r="I66" s="199"/>
      <c r="J66" s="160"/>
      <c r="K66" s="41"/>
    </row>
    <row r="67" spans="1:11" ht="5.0999999999999996" customHeight="1" x14ac:dyDescent="0.3">
      <c r="A67" s="158"/>
      <c r="B67" s="168"/>
      <c r="C67" s="168"/>
      <c r="D67" s="189"/>
      <c r="E67" s="189"/>
      <c r="F67" s="198"/>
      <c r="G67" s="198"/>
      <c r="H67" s="199"/>
      <c r="I67" s="199"/>
      <c r="J67" s="160"/>
      <c r="K67" s="41"/>
    </row>
    <row r="68" spans="1:11" x14ac:dyDescent="0.25">
      <c r="A68" s="453" t="s">
        <v>291</v>
      </c>
      <c r="B68" s="168"/>
      <c r="C68" s="168"/>
      <c r="D68" s="189"/>
      <c r="E68" s="189"/>
      <c r="F68" s="198"/>
      <c r="G68" s="198"/>
      <c r="H68" s="199"/>
      <c r="I68" s="199"/>
      <c r="J68" s="160"/>
      <c r="K68" s="41"/>
    </row>
    <row r="69" spans="1:11" x14ac:dyDescent="0.25">
      <c r="A69" s="82" t="s">
        <v>173</v>
      </c>
      <c r="B69" s="6"/>
      <c r="C69" s="6"/>
      <c r="D69" s="52"/>
      <c r="E69" s="52"/>
      <c r="F69" s="86"/>
      <c r="G69" s="86"/>
      <c r="H69" s="104"/>
      <c r="I69" s="54"/>
      <c r="J69" s="39"/>
      <c r="K69" s="88"/>
    </row>
    <row r="70" spans="1:11" x14ac:dyDescent="0.25">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x14ac:dyDescent="0.25">
      <c r="A71" s="338" t="s">
        <v>292</v>
      </c>
      <c r="B71" s="105">
        <f>SUM(B9,B40)</f>
        <v>148750.48521563006</v>
      </c>
      <c r="C71" s="292"/>
      <c r="D71" s="196">
        <f>SUM(D9,D40)</f>
        <v>24712.722415079556</v>
      </c>
      <c r="E71" s="292"/>
      <c r="F71" s="83">
        <f>IF(ISERROR(D71/B71),"n/a",D71/B71)</f>
        <v>0.16613540708291316</v>
      </c>
      <c r="G71" s="92"/>
      <c r="H71" s="54"/>
      <c r="I71" s="54"/>
      <c r="J71" s="196">
        <f>SUM(J9,J40)</f>
        <v>41083.195538481181</v>
      </c>
      <c r="K71" s="83">
        <f>IF(ISERROR(J71/B71),"n/a",J71/B71)</f>
        <v>0.27618864892391176</v>
      </c>
    </row>
    <row r="72" spans="1:11" ht="5.0999999999999996" customHeight="1" x14ac:dyDescent="0.25">
      <c r="A72" s="89"/>
      <c r="B72" s="200"/>
      <c r="C72" s="200"/>
      <c r="D72" s="196"/>
      <c r="E72" s="200"/>
      <c r="F72" s="201"/>
      <c r="G72" s="198"/>
      <c r="H72" s="199"/>
      <c r="I72" s="199"/>
      <c r="J72" s="196"/>
      <c r="K72" s="83"/>
    </row>
    <row r="73" spans="1:11" x14ac:dyDescent="0.25">
      <c r="A73" s="82" t="s">
        <v>176</v>
      </c>
      <c r="B73" s="135"/>
      <c r="C73" s="135"/>
      <c r="D73" s="196"/>
      <c r="E73" s="135"/>
      <c r="F73" s="92"/>
      <c r="G73" s="48"/>
      <c r="H73" s="48"/>
      <c r="I73" s="48"/>
      <c r="J73" s="196"/>
      <c r="K73" s="92"/>
    </row>
    <row r="74" spans="1:11" x14ac:dyDescent="0.25">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x14ac:dyDescent="0.25">
      <c r="A75" s="338" t="s">
        <v>292</v>
      </c>
      <c r="B75" s="105">
        <f>SUM(B13,B44)</f>
        <v>52806.268160374631</v>
      </c>
      <c r="C75" s="292"/>
      <c r="D75" s="196">
        <f>SUM(D13,D44)</f>
        <v>16101.206679110708</v>
      </c>
      <c r="E75" s="292"/>
      <c r="F75" s="83">
        <f>IF(ISERROR(D75/B75),"n/a",D75/B75)</f>
        <v>0.30491089864958332</v>
      </c>
      <c r="G75" s="92"/>
      <c r="H75" s="54"/>
      <c r="I75" s="54"/>
      <c r="J75" s="196">
        <f>SUM(J13,J44)</f>
        <v>26767.144926119829</v>
      </c>
      <c r="K75" s="83">
        <f>IF(ISERROR(J75/B75),"n/a",J75/B75)</f>
        <v>0.50689332646698304</v>
      </c>
    </row>
    <row r="76" spans="1:11" ht="5.0999999999999996" customHeight="1" x14ac:dyDescent="0.25">
      <c r="A76" s="89"/>
      <c r="B76" s="200"/>
      <c r="C76" s="200"/>
      <c r="D76" s="204"/>
      <c r="E76" s="200"/>
      <c r="F76" s="201"/>
      <c r="G76" s="198"/>
      <c r="H76" s="199"/>
      <c r="I76" s="199"/>
      <c r="J76" s="204"/>
      <c r="K76" s="83"/>
    </row>
    <row r="77" spans="1:11" x14ac:dyDescent="0.25">
      <c r="A77" s="338" t="s">
        <v>177</v>
      </c>
      <c r="B77" s="44">
        <f>SUM(B70:B71)</f>
        <v>148750.48521563006</v>
      </c>
      <c r="C77" s="44"/>
      <c r="D77" s="196">
        <f>SUM(D70:D71)</f>
        <v>24712.722415079556</v>
      </c>
      <c r="E77" s="44"/>
      <c r="F77" s="83">
        <f>IF(ISERROR(D77/B77),"n/a",D77/B77)</f>
        <v>0.16613540708291316</v>
      </c>
      <c r="G77" s="41"/>
      <c r="H77" s="75"/>
      <c r="I77" s="75"/>
      <c r="J77" s="196">
        <f>SUM(J70:J71)</f>
        <v>41083.195538481181</v>
      </c>
      <c r="K77" s="83">
        <f>IF(ISERROR(J77/B77),"n/a",J77/B77)</f>
        <v>0.27618864892391176</v>
      </c>
    </row>
    <row r="78" spans="1:11" x14ac:dyDescent="0.25">
      <c r="A78" s="338" t="s">
        <v>178</v>
      </c>
      <c r="B78" s="44">
        <f>SUM(B74:B75)</f>
        <v>52806.268160374631</v>
      </c>
      <c r="C78" s="44"/>
      <c r="D78" s="196">
        <f>SUM(D74:D75)</f>
        <v>16101.206679110708</v>
      </c>
      <c r="E78" s="44"/>
      <c r="F78" s="83">
        <f>IF(ISERROR(D78/B78),"n/a",D78/B78)</f>
        <v>0.30491089864958332</v>
      </c>
      <c r="G78" s="202"/>
      <c r="H78" s="203"/>
      <c r="I78" s="203"/>
      <c r="J78" s="196">
        <f>SUM(J74:J75)</f>
        <v>26767.144926119829</v>
      </c>
      <c r="K78" s="83">
        <f>IF(ISERROR(J78/B78),"n/a",J78/B78)</f>
        <v>0.50689332646698304</v>
      </c>
    </row>
    <row r="79" spans="1:11" x14ac:dyDescent="0.25">
      <c r="A79" s="338" t="s">
        <v>102</v>
      </c>
      <c r="B79" s="44">
        <f>B77</f>
        <v>148750.48521563006</v>
      </c>
      <c r="C79" s="44"/>
      <c r="D79" s="196">
        <f>SUM(D78,D77)</f>
        <v>40813.929094190265</v>
      </c>
      <c r="E79" s="44"/>
      <c r="F79" s="83">
        <f>IF(ISERROR(D79/B79),"n/a",D79/B79)</f>
        <v>0.2743784602451953</v>
      </c>
      <c r="G79" s="41"/>
      <c r="H79" s="75"/>
      <c r="I79" s="75"/>
      <c r="J79" s="196">
        <f>SUM(J78,J77)</f>
        <v>67850.340464601002</v>
      </c>
      <c r="K79" s="83">
        <f>IF(ISERROR(J79/B79),"n/a",J79/B79)</f>
        <v>0.45613525472703181</v>
      </c>
    </row>
    <row r="80" spans="1:11" x14ac:dyDescent="0.25">
      <c r="A80" s="16"/>
      <c r="B80" s="44"/>
      <c r="C80" s="44"/>
      <c r="D80" s="196"/>
      <c r="E80" s="44"/>
      <c r="F80" s="83"/>
      <c r="G80" s="41"/>
      <c r="H80" s="75"/>
      <c r="I80" s="75"/>
      <c r="J80" s="196"/>
      <c r="K80" s="83"/>
    </row>
    <row r="81" spans="1:14" x14ac:dyDescent="0.25">
      <c r="A81" s="15" t="s">
        <v>782</v>
      </c>
      <c r="B81" s="44"/>
      <c r="C81" s="285"/>
      <c r="D81" s="196"/>
      <c r="E81" s="285"/>
      <c r="F81" s="83"/>
      <c r="G81" s="41"/>
      <c r="H81" s="54"/>
      <c r="I81" s="75"/>
      <c r="J81" s="196"/>
      <c r="K81" s="83"/>
    </row>
    <row r="82" spans="1:14" x14ac:dyDescent="0.25">
      <c r="A82" s="82" t="s">
        <v>173</v>
      </c>
      <c r="B82" s="44"/>
      <c r="C82" s="285"/>
      <c r="D82" s="196"/>
      <c r="E82" s="285"/>
      <c r="F82" s="83"/>
      <c r="G82" s="41"/>
      <c r="H82" s="54"/>
      <c r="I82" s="75"/>
      <c r="J82" s="196"/>
      <c r="K82" s="83"/>
    </row>
    <row r="83" spans="1:14" x14ac:dyDescent="0.25">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4" x14ac:dyDescent="0.25">
      <c r="A84" s="338" t="s">
        <v>292</v>
      </c>
      <c r="B84" s="105">
        <f>SUM(B22,B53)</f>
        <v>47620.110808184669</v>
      </c>
      <c r="C84" s="292"/>
      <c r="D84" s="196">
        <f>SUM(D22,D53)</f>
        <v>635.96468208304145</v>
      </c>
      <c r="E84" s="292"/>
      <c r="F84" s="83">
        <f>IF(ISERROR(D84/B84),"n/a",D84/B84)</f>
        <v>1.3354960147924215E-2</v>
      </c>
      <c r="G84" s="41"/>
      <c r="H84" s="54"/>
      <c r="I84" s="75"/>
      <c r="J84" s="196">
        <f>SUM(J22,J53)</f>
        <v>1057.2473947120773</v>
      </c>
      <c r="K84" s="83">
        <f>IF(ISERROR(J84/B84),"n/a",J84/B84)</f>
        <v>2.2201699592231183E-2</v>
      </c>
    </row>
    <row r="85" spans="1:14" ht="5.0999999999999996" customHeight="1" x14ac:dyDescent="0.25">
      <c r="A85" s="89"/>
      <c r="B85" s="44"/>
      <c r="C85" s="285"/>
      <c r="D85" s="196"/>
      <c r="E85" s="285"/>
      <c r="F85" s="83"/>
      <c r="G85" s="41"/>
      <c r="H85" s="54"/>
      <c r="I85" s="75"/>
      <c r="J85" s="196"/>
      <c r="K85" s="83"/>
    </row>
    <row r="86" spans="1:14" x14ac:dyDescent="0.25">
      <c r="A86" s="82" t="s">
        <v>176</v>
      </c>
      <c r="B86" s="44"/>
      <c r="C86" s="285"/>
      <c r="D86" s="196"/>
      <c r="E86" s="285"/>
      <c r="F86" s="83"/>
      <c r="G86" s="41"/>
      <c r="H86" s="54"/>
      <c r="I86" s="75"/>
      <c r="J86" s="196"/>
      <c r="K86" s="83"/>
    </row>
    <row r="87" spans="1:14" x14ac:dyDescent="0.25">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4" x14ac:dyDescent="0.25">
      <c r="A88" s="338" t="s">
        <v>292</v>
      </c>
      <c r="B88" s="105">
        <f>SUM(B26,B57)</f>
        <v>47620.110808184669</v>
      </c>
      <c r="C88" s="292"/>
      <c r="D88" s="196">
        <f>SUM(D26,D57)</f>
        <v>11654.746918190154</v>
      </c>
      <c r="E88" s="292"/>
      <c r="F88" s="83">
        <f>IF(ISERROR(D88/B88),"n/a",D88/B88)</f>
        <v>0.24474422088465622</v>
      </c>
      <c r="G88" s="41"/>
      <c r="H88" s="54"/>
      <c r="I88" s="75"/>
      <c r="J88" s="196">
        <f>SUM(J26,J57)</f>
        <v>19375.212433064335</v>
      </c>
      <c r="K88" s="83">
        <f>IF(ISERROR(J88/B88),"n/a",J88/B88)</f>
        <v>0.40687037691088773</v>
      </c>
    </row>
    <row r="89" spans="1:14" ht="5.0999999999999996" customHeight="1" x14ac:dyDescent="0.25">
      <c r="A89" s="89"/>
      <c r="B89" s="44"/>
      <c r="C89" s="285"/>
      <c r="D89" s="196"/>
      <c r="E89" s="285"/>
      <c r="F89" s="83"/>
      <c r="G89" s="41"/>
      <c r="H89" s="54"/>
      <c r="I89" s="75"/>
      <c r="J89" s="196"/>
      <c r="K89" s="83"/>
    </row>
    <row r="90" spans="1:14" x14ac:dyDescent="0.25">
      <c r="A90" s="338" t="s">
        <v>177</v>
      </c>
      <c r="B90" s="44">
        <f>SUM(B83:B84)</f>
        <v>47620.110808184669</v>
      </c>
      <c r="C90" s="285"/>
      <c r="D90" s="196">
        <f>SUM(D83:D84)</f>
        <v>635.96468208304145</v>
      </c>
      <c r="E90" s="285"/>
      <c r="F90" s="83">
        <f>IF(ISERROR(D90/B90),"n/a",D90/B90)</f>
        <v>1.3354960147924215E-2</v>
      </c>
      <c r="G90" s="41"/>
      <c r="H90" s="54"/>
      <c r="I90" s="75"/>
      <c r="J90" s="196">
        <f>SUM(J83:J84)</f>
        <v>1057.2473947120773</v>
      </c>
      <c r="K90" s="83">
        <f>IF(ISERROR(J90/B90),"n/a",J90/B90)</f>
        <v>2.2201699592231183E-2</v>
      </c>
    </row>
    <row r="91" spans="1:14" x14ac:dyDescent="0.25">
      <c r="A91" s="338" t="s">
        <v>178</v>
      </c>
      <c r="B91" s="44">
        <f>SUM(B87:B88)</f>
        <v>47620.110808184669</v>
      </c>
      <c r="C91" s="285"/>
      <c r="D91" s="196">
        <f>SUM(D87:D88)</f>
        <v>11654.746918190154</v>
      </c>
      <c r="E91" s="285"/>
      <c r="F91" s="83">
        <f>IF(ISERROR(D91/B91),"n/a",D91/B91)</f>
        <v>0.24474422088465622</v>
      </c>
      <c r="G91" s="41"/>
      <c r="H91" s="54"/>
      <c r="I91" s="75"/>
      <c r="J91" s="196">
        <f>SUM(J87:J88)</f>
        <v>19375.212433064335</v>
      </c>
      <c r="K91" s="83">
        <f>IF(ISERROR(J91/B91),"n/a",J91/B91)</f>
        <v>0.40687037691088773</v>
      </c>
    </row>
    <row r="92" spans="1:14" x14ac:dyDescent="0.25">
      <c r="A92" s="338" t="s">
        <v>102</v>
      </c>
      <c r="B92" s="44">
        <f>B91</f>
        <v>47620.110808184669</v>
      </c>
      <c r="C92" s="285"/>
      <c r="D92" s="196">
        <f>SUM(D90:D91)</f>
        <v>12290.711600273196</v>
      </c>
      <c r="E92" s="285"/>
      <c r="F92" s="83">
        <f>IF(ISERROR(D92/B92),"n/a",D92/B92)</f>
        <v>0.25809918103258045</v>
      </c>
      <c r="G92" s="41"/>
      <c r="H92" s="54"/>
      <c r="I92" s="75"/>
      <c r="J92" s="196">
        <f>SUM(J90:J91)</f>
        <v>20432.459827776413</v>
      </c>
      <c r="K92" s="83">
        <f>IF(ISERROR(J92/B92),"n/a",J92/B92)</f>
        <v>0.4290720765031189</v>
      </c>
    </row>
    <row r="93" spans="1:14" hidden="1" x14ac:dyDescent="0.25">
      <c r="A93" s="338"/>
      <c r="B93" s="44"/>
      <c r="C93" s="285"/>
      <c r="D93" s="196"/>
      <c r="E93" s="285"/>
      <c r="F93" s="83"/>
      <c r="G93" s="41"/>
      <c r="H93" s="54"/>
      <c r="I93" s="75"/>
      <c r="J93" s="46"/>
      <c r="K93" s="83"/>
    </row>
    <row r="94" spans="1:14" hidden="1" x14ac:dyDescent="0.25">
      <c r="A94" s="338"/>
      <c r="B94" s="44"/>
      <c r="C94" s="285"/>
      <c r="D94" s="196"/>
      <c r="E94" s="285"/>
      <c r="F94" s="83"/>
      <c r="G94" s="41"/>
      <c r="H94" s="54"/>
      <c r="I94" s="75"/>
      <c r="J94" s="46"/>
      <c r="K94" s="83"/>
    </row>
    <row r="95" spans="1:14" hidden="1" x14ac:dyDescent="0.25">
      <c r="A95" s="140"/>
      <c r="B95" s="547" t="s">
        <v>193</v>
      </c>
      <c r="C95" s="547"/>
      <c r="D95" s="196"/>
      <c r="E95" s="285"/>
      <c r="F95" s="83"/>
      <c r="G95" s="41"/>
      <c r="H95" s="54"/>
      <c r="I95" s="75"/>
      <c r="J95" s="46"/>
      <c r="K95" s="83"/>
    </row>
    <row r="96" spans="1:14" hidden="1" x14ac:dyDescent="0.25">
      <c r="A96" s="140"/>
      <c r="B96" s="547" t="s">
        <v>194</v>
      </c>
      <c r="C96" s="547"/>
      <c r="D96" s="31">
        <f>SUM(D9,D13)</f>
        <v>32024.602483314389</v>
      </c>
      <c r="E96" s="31"/>
      <c r="F96" s="31">
        <f>'Table 3.20-CFS Non-CIOSS'!C91-'Table 3.20-CFS Non-CIOSS'!C94</f>
        <v>32024.602483314393</v>
      </c>
      <c r="G96" s="129"/>
      <c r="H96" s="128">
        <f>D96-F96</f>
        <v>0</v>
      </c>
      <c r="I96" s="11"/>
      <c r="J96" s="11"/>
      <c r="K96" s="31">
        <f>D40+D44</f>
        <v>8789.3266108758762</v>
      </c>
      <c r="L96" s="53">
        <f>'Table 3.21-CFS CIOSS Rejs'!C91-'Table 3.21-CFS CIOSS Rejs'!C94</f>
        <v>8789.3266108758762</v>
      </c>
      <c r="M96" s="128">
        <f>K96-L96</f>
        <v>0</v>
      </c>
      <c r="N96" s="357"/>
    </row>
    <row r="97" spans="1:14" hidden="1" x14ac:dyDescent="0.25">
      <c r="A97" s="140"/>
      <c r="B97" s="547" t="s">
        <v>195</v>
      </c>
      <c r="C97" s="547"/>
      <c r="D97" s="31">
        <f>SUM(D96:D96)</f>
        <v>32024.602483314389</v>
      </c>
      <c r="E97" s="31"/>
      <c r="F97" s="31">
        <f>SUM(F96:F96)</f>
        <v>32024.602483314393</v>
      </c>
      <c r="G97" s="129"/>
      <c r="H97" s="128">
        <f>D97-F97</f>
        <v>0</v>
      </c>
      <c r="I97" s="11"/>
      <c r="J97" s="11"/>
      <c r="K97" s="31">
        <f>SUM(K96:K96)</f>
        <v>8789.3266108758762</v>
      </c>
      <c r="L97" s="31">
        <f>SUM(L96:L96)</f>
        <v>8789.3266108758762</v>
      </c>
      <c r="M97" s="128">
        <f>K97-L97</f>
        <v>0</v>
      </c>
      <c r="N97" s="357"/>
    </row>
    <row r="98" spans="1:14" hidden="1" x14ac:dyDescent="0.25">
      <c r="B98" s="11"/>
      <c r="C98" s="11"/>
      <c r="D98" s="11"/>
      <c r="E98" s="11"/>
      <c r="F98" s="11"/>
      <c r="G98" s="11"/>
      <c r="H98" s="11"/>
      <c r="I98" s="11"/>
      <c r="J98" s="11"/>
      <c r="K98" s="11"/>
    </row>
    <row r="99" spans="1:14" hidden="1" x14ac:dyDescent="0.25">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4" hidden="1" x14ac:dyDescent="0.25">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4" hidden="1" x14ac:dyDescent="0.25">
      <c r="A101" s="347"/>
      <c r="B101" s="352"/>
      <c r="C101" s="352"/>
      <c r="D101" s="11"/>
      <c r="E101" s="11"/>
      <c r="F101" s="11"/>
      <c r="G101" s="11"/>
      <c r="H101" s="11"/>
      <c r="I101" s="11"/>
      <c r="J101" s="11"/>
    </row>
    <row r="102" spans="1:14" hidden="1" x14ac:dyDescent="0.25">
      <c r="A102" s="347"/>
      <c r="B102" s="350" t="s">
        <v>301</v>
      </c>
      <c r="C102" s="352"/>
      <c r="D102" s="31">
        <f>D21+D25</f>
        <v>0</v>
      </c>
      <c r="E102" s="31"/>
      <c r="F102" s="31">
        <v>0</v>
      </c>
      <c r="G102" s="11"/>
      <c r="H102" s="128">
        <f>D102-F102</f>
        <v>0</v>
      </c>
      <c r="I102" s="11"/>
      <c r="J102" s="11"/>
      <c r="K102" s="31">
        <f>D52+D56</f>
        <v>0</v>
      </c>
      <c r="M102" s="128">
        <f>K102-L102</f>
        <v>0</v>
      </c>
    </row>
    <row r="103" spans="1:14" hidden="1" x14ac:dyDescent="0.25">
      <c r="A103" s="347"/>
      <c r="B103" s="350" t="s">
        <v>302</v>
      </c>
      <c r="C103" s="352"/>
      <c r="D103" s="31">
        <f>D22+D26</f>
        <v>10806.436154526609</v>
      </c>
      <c r="E103" s="31"/>
      <c r="F103" s="31">
        <v>10806.436154526606</v>
      </c>
      <c r="G103" s="11"/>
      <c r="H103" s="128">
        <f>D103-F103</f>
        <v>0</v>
      </c>
      <c r="I103" s="11"/>
      <c r="J103" s="11"/>
      <c r="K103" s="31">
        <f>D53+D57</f>
        <v>1484.2754457465874</v>
      </c>
      <c r="L103" s="31">
        <v>1484.2754457465874</v>
      </c>
      <c r="M103" s="128">
        <f>K103-L103</f>
        <v>0</v>
      </c>
    </row>
    <row r="104" spans="1:14" hidden="1" x14ac:dyDescent="0.25">
      <c r="A104" s="347"/>
      <c r="B104" s="350" t="s">
        <v>303</v>
      </c>
      <c r="C104" s="352"/>
      <c r="D104" s="31">
        <f>D30</f>
        <v>10806.436154526609</v>
      </c>
      <c r="E104" s="31"/>
      <c r="F104" s="31">
        <v>10806.436154526606</v>
      </c>
      <c r="G104" s="11"/>
      <c r="H104" s="128">
        <f>D104-F104</f>
        <v>0</v>
      </c>
      <c r="I104" s="11"/>
      <c r="J104" s="11"/>
      <c r="K104" s="53">
        <f>SUM(K102:K103)</f>
        <v>1484.2754457465874</v>
      </c>
      <c r="L104" s="53">
        <f>SUM(L102:L103)</f>
        <v>1484.2754457465874</v>
      </c>
      <c r="M104" s="128">
        <f>K104-L104</f>
        <v>0</v>
      </c>
    </row>
    <row r="105" spans="1:14" hidden="1" x14ac:dyDescent="0.25">
      <c r="A105" s="347"/>
      <c r="B105" s="350"/>
      <c r="C105" s="352"/>
      <c r="D105" s="31"/>
      <c r="E105" s="31"/>
      <c r="F105" s="31"/>
      <c r="G105" s="11"/>
      <c r="H105" s="349"/>
      <c r="I105" s="11"/>
      <c r="J105" s="11"/>
      <c r="K105" s="11"/>
    </row>
    <row r="106" spans="1:14" hidden="1" x14ac:dyDescent="0.25">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4" hidden="1" x14ac:dyDescent="0.25">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4" hidden="1" x14ac:dyDescent="0.25">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4" hidden="1" x14ac:dyDescent="0.25">
      <c r="A109" s="350"/>
      <c r="B109" s="350"/>
      <c r="C109" s="66"/>
      <c r="D109" s="66"/>
      <c r="E109" s="66"/>
      <c r="F109" s="66"/>
      <c r="G109" s="140"/>
      <c r="H109" s="349"/>
      <c r="I109" s="11"/>
      <c r="J109" s="11"/>
      <c r="K109" s="11"/>
    </row>
    <row r="110" spans="1:14" hidden="1" x14ac:dyDescent="0.25">
      <c r="A110" s="350" t="s">
        <v>437</v>
      </c>
      <c r="B110" s="346">
        <v>0</v>
      </c>
      <c r="C110" s="66"/>
      <c r="D110" s="346">
        <v>0</v>
      </c>
      <c r="E110" s="66"/>
      <c r="F110" s="66"/>
      <c r="G110" s="140"/>
      <c r="H110" s="349"/>
      <c r="I110" s="11"/>
      <c r="J110" s="11"/>
      <c r="K110" s="11"/>
    </row>
    <row r="111" spans="1:14" hidden="1" x14ac:dyDescent="0.25">
      <c r="A111" s="350" t="s">
        <v>438</v>
      </c>
      <c r="B111" s="346">
        <v>0</v>
      </c>
      <c r="C111" s="350"/>
      <c r="D111" s="346">
        <v>0</v>
      </c>
      <c r="E111" s="66"/>
      <c r="F111" s="66"/>
      <c r="G111" s="140"/>
      <c r="H111" s="349"/>
      <c r="I111" s="11"/>
      <c r="J111" s="11"/>
      <c r="K111" s="11"/>
    </row>
    <row r="112" spans="1:14" x14ac:dyDescent="0.25">
      <c r="A112" s="351"/>
      <c r="B112" s="141"/>
      <c r="C112" s="141"/>
      <c r="D112" s="141"/>
      <c r="E112" s="141"/>
      <c r="F112" s="141"/>
      <c r="G112" s="11"/>
      <c r="H112" s="11"/>
      <c r="I112" s="11"/>
      <c r="J112" s="11"/>
      <c r="K112" s="11"/>
    </row>
    <row r="113" spans="1:11" x14ac:dyDescent="0.25">
      <c r="A113" s="11" t="s">
        <v>235</v>
      </c>
      <c r="B113" s="11"/>
      <c r="C113" s="11"/>
      <c r="D113" s="11"/>
      <c r="E113" s="11"/>
      <c r="F113" s="11"/>
      <c r="G113" s="11"/>
      <c r="H113" s="11"/>
      <c r="I113" s="11"/>
      <c r="J113" s="11"/>
      <c r="K113" s="11"/>
    </row>
    <row r="114" spans="1:11" x14ac:dyDescent="0.25">
      <c r="A114" s="25" t="s">
        <v>788</v>
      </c>
      <c r="B114" s="11"/>
      <c r="C114" s="11"/>
      <c r="D114" s="11"/>
      <c r="E114" s="11"/>
      <c r="F114" s="11"/>
      <c r="G114" s="11"/>
      <c r="H114" s="11"/>
      <c r="I114" s="11"/>
      <c r="J114" s="11"/>
      <c r="K114" s="11"/>
    </row>
    <row r="115" spans="1:11" x14ac:dyDescent="0.25">
      <c r="A115" s="25" t="s">
        <v>649</v>
      </c>
      <c r="B115" s="11"/>
      <c r="C115" s="11"/>
      <c r="D115" s="11"/>
      <c r="E115" s="11"/>
      <c r="F115" s="11"/>
      <c r="G115" s="11"/>
      <c r="H115" s="11"/>
      <c r="I115" s="11"/>
      <c r="J115" s="11"/>
      <c r="K115" s="11"/>
    </row>
    <row r="116" spans="1:11" x14ac:dyDescent="0.25">
      <c r="A116" s="25" t="s">
        <v>801</v>
      </c>
      <c r="B116" s="11"/>
      <c r="C116" s="11"/>
      <c r="D116" s="11"/>
      <c r="E116" s="11"/>
      <c r="F116" s="11"/>
      <c r="G116" s="11"/>
      <c r="H116" s="11"/>
      <c r="I116" s="11"/>
      <c r="J116" s="11"/>
      <c r="K116" s="11"/>
    </row>
    <row r="117" spans="1:11" x14ac:dyDescent="0.25">
      <c r="A117" s="25" t="s">
        <v>93</v>
      </c>
      <c r="B117" s="11"/>
      <c r="C117" s="11"/>
      <c r="D117" s="11"/>
      <c r="E117" s="11"/>
      <c r="F117" s="11"/>
      <c r="G117" s="11"/>
      <c r="H117" s="11"/>
      <c r="I117" s="11"/>
      <c r="J117" s="11"/>
      <c r="K117" s="11"/>
    </row>
    <row r="118" spans="1:11" x14ac:dyDescent="0.25">
      <c r="B118" s="11"/>
      <c r="C118" s="11"/>
      <c r="D118" s="11"/>
      <c r="E118" s="11"/>
      <c r="F118" s="11"/>
      <c r="G118" s="11"/>
      <c r="H118" s="11"/>
      <c r="I118" s="11"/>
      <c r="J118" s="11"/>
      <c r="K118" s="11"/>
    </row>
    <row r="119" spans="1:11" x14ac:dyDescent="0.25">
      <c r="B119" s="11"/>
      <c r="C119" s="11"/>
      <c r="D119" s="11"/>
      <c r="E119" s="11"/>
      <c r="F119" s="11"/>
      <c r="G119" s="11"/>
      <c r="H119" s="11"/>
      <c r="I119" s="11"/>
      <c r="J119" s="11"/>
      <c r="K119" s="11"/>
    </row>
    <row r="120" spans="1:11" x14ac:dyDescent="0.25">
      <c r="B120" s="11"/>
      <c r="C120" s="11"/>
      <c r="D120" s="11"/>
      <c r="E120" s="11"/>
      <c r="F120" s="11"/>
      <c r="G120" s="11"/>
      <c r="H120" s="11"/>
      <c r="I120" s="11"/>
      <c r="J120" s="11"/>
      <c r="K120" s="11"/>
    </row>
    <row r="121" spans="1:11" x14ac:dyDescent="0.25">
      <c r="B121" s="11"/>
      <c r="C121" s="11"/>
      <c r="D121" s="11"/>
      <c r="E121" s="11"/>
      <c r="F121" s="11"/>
      <c r="G121" s="11"/>
      <c r="H121" s="11"/>
      <c r="I121" s="11"/>
      <c r="J121" s="11"/>
      <c r="K121" s="11"/>
    </row>
    <row r="122" spans="1:11" x14ac:dyDescent="0.25">
      <c r="B122" s="11"/>
      <c r="C122" s="11"/>
      <c r="D122" s="11"/>
      <c r="E122" s="11"/>
      <c r="F122" s="11"/>
      <c r="G122" s="11"/>
      <c r="H122" s="11"/>
      <c r="I122" s="11"/>
      <c r="J122" s="11"/>
      <c r="K122" s="11"/>
    </row>
    <row r="123" spans="1:11" x14ac:dyDescent="0.25">
      <c r="B123" s="11"/>
      <c r="C123" s="11"/>
      <c r="D123" s="11"/>
      <c r="E123" s="11"/>
      <c r="F123" s="11"/>
      <c r="G123" s="11"/>
      <c r="H123" s="11"/>
      <c r="I123" s="11"/>
      <c r="J123" s="11"/>
      <c r="K123" s="11"/>
    </row>
    <row r="124" spans="1:11" x14ac:dyDescent="0.25">
      <c r="B124" s="11"/>
      <c r="C124" s="11"/>
      <c r="D124" s="11"/>
      <c r="E124" s="11"/>
      <c r="F124" s="11"/>
      <c r="G124" s="11"/>
      <c r="H124" s="11"/>
      <c r="I124" s="11"/>
      <c r="J124" s="11"/>
      <c r="K124" s="11"/>
    </row>
    <row r="125" spans="1:11" x14ac:dyDescent="0.25">
      <c r="B125" s="11"/>
      <c r="C125" s="11"/>
      <c r="D125" s="11"/>
      <c r="E125" s="11"/>
      <c r="F125" s="11"/>
      <c r="G125" s="11"/>
      <c r="H125" s="11"/>
      <c r="I125" s="11"/>
      <c r="J125" s="11"/>
      <c r="K125" s="11"/>
    </row>
    <row r="126" spans="1:11" x14ac:dyDescent="0.25">
      <c r="B126" s="11"/>
      <c r="C126" s="11"/>
      <c r="D126" s="11"/>
      <c r="E126" s="11"/>
      <c r="F126" s="11"/>
      <c r="G126" s="11"/>
      <c r="H126" s="11"/>
      <c r="I126" s="11"/>
      <c r="J126" s="11"/>
      <c r="K126" s="11"/>
    </row>
    <row r="127" spans="1:11" x14ac:dyDescent="0.25">
      <c r="B127" s="11"/>
      <c r="C127" s="11"/>
      <c r="D127" s="11"/>
      <c r="E127" s="11"/>
      <c r="F127" s="11"/>
      <c r="G127" s="11"/>
      <c r="H127" s="11"/>
      <c r="I127" s="11"/>
      <c r="J127" s="11"/>
      <c r="K127" s="11"/>
    </row>
    <row r="128" spans="1:11" x14ac:dyDescent="0.25">
      <c r="B128" s="11"/>
      <c r="C128" s="11"/>
      <c r="D128" s="11"/>
      <c r="E128" s="11"/>
      <c r="F128" s="11"/>
      <c r="G128" s="11"/>
      <c r="H128" s="11"/>
      <c r="I128" s="11"/>
      <c r="J128" s="11"/>
      <c r="K128" s="11"/>
    </row>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sheetData>
  <phoneticPr fontId="0" type="noConversion"/>
  <printOptions horizontalCentered="1"/>
  <pageMargins left="0.75" right="0.75" top="1" bottom="1" header="0.5" footer="0.5"/>
  <pageSetup fitToHeight="3"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P125"/>
  <sheetViews>
    <sheetView zoomScale="70" zoomScaleNormal="70" workbookViewId="0"/>
  </sheetViews>
  <sheetFormatPr defaultRowHeight="13.2" x14ac:dyDescent="0.25"/>
  <cols>
    <col min="1" max="1" width="29.44140625" customWidth="1"/>
    <col min="2" max="4" width="11.6640625" customWidth="1"/>
    <col min="5" max="5" width="2.6640625" customWidth="1"/>
    <col min="6" max="6" width="11.6640625" customWidth="1"/>
    <col min="7" max="7" width="2.6640625" customWidth="1"/>
    <col min="8" max="9" width="11.6640625" customWidth="1"/>
    <col min="11" max="11" width="9.33203125" bestFit="1" customWidth="1"/>
  </cols>
  <sheetData>
    <row r="1" spans="1:16" ht="15.75" customHeight="1" x14ac:dyDescent="0.3">
      <c r="A1" s="158" t="s">
        <v>560</v>
      </c>
    </row>
    <row r="2" spans="1:16" ht="15.75" customHeight="1" x14ac:dyDescent="0.3">
      <c r="A2" s="158" t="s">
        <v>787</v>
      </c>
    </row>
    <row r="3" spans="1:16" ht="26.4" x14ac:dyDescent="0.25">
      <c r="B3" s="168" t="s">
        <v>250</v>
      </c>
      <c r="C3" s="189" t="s">
        <v>249</v>
      </c>
      <c r="D3" s="8" t="s">
        <v>104</v>
      </c>
      <c r="E3" s="8"/>
      <c r="F3" s="199" t="s">
        <v>246</v>
      </c>
      <c r="G3" s="87"/>
      <c r="H3" s="160" t="s">
        <v>218</v>
      </c>
      <c r="I3" s="41" t="s">
        <v>133</v>
      </c>
      <c r="J3" s="11"/>
    </row>
    <row r="4" spans="1:16" x14ac:dyDescent="0.25">
      <c r="A4" s="15" t="s">
        <v>291</v>
      </c>
      <c r="B4" s="168"/>
      <c r="C4" s="189"/>
      <c r="D4" s="8"/>
      <c r="E4" s="8"/>
      <c r="F4" s="199"/>
      <c r="G4" s="87"/>
      <c r="H4" s="160"/>
      <c r="I4" s="41"/>
      <c r="J4" s="11"/>
    </row>
    <row r="5" spans="1:16" ht="12.75" customHeight="1" x14ac:dyDescent="0.25">
      <c r="A5" s="89" t="s">
        <v>174</v>
      </c>
      <c r="B5" s="168"/>
      <c r="C5" s="189"/>
      <c r="D5" s="8"/>
      <c r="E5" s="8"/>
      <c r="F5" s="87"/>
      <c r="G5" s="87"/>
      <c r="H5" s="160"/>
      <c r="I5" s="41"/>
      <c r="J5" s="11"/>
    </row>
    <row r="6" spans="1:16" x14ac:dyDescent="0.25">
      <c r="A6" s="81" t="s">
        <v>278</v>
      </c>
      <c r="C6" s="52"/>
      <c r="D6" s="3"/>
      <c r="E6" s="3"/>
      <c r="F6" s="74"/>
      <c r="G6" s="74"/>
      <c r="H6" s="3"/>
      <c r="I6" s="3"/>
      <c r="J6" s="11"/>
    </row>
    <row r="7" spans="1:16" x14ac:dyDescent="0.25">
      <c r="A7" s="344" t="s">
        <v>130</v>
      </c>
      <c r="B7" s="105">
        <v>0</v>
      </c>
      <c r="C7" s="196">
        <v>0</v>
      </c>
      <c r="D7" s="83" t="str">
        <f>IF(ISERROR(C7/B7),"n/a",C7/B7)</f>
        <v>n/a</v>
      </c>
      <c r="E7" s="41"/>
      <c r="F7" s="54">
        <v>1.6624309879114112</v>
      </c>
      <c r="G7" s="75"/>
      <c r="H7" s="42">
        <f>C7*F7</f>
        <v>0</v>
      </c>
      <c r="I7" s="83" t="str">
        <f>IF(ISERROR(H7/B7),"n/a",H7/B7)</f>
        <v>n/a</v>
      </c>
      <c r="J7" s="11"/>
      <c r="K7" s="345"/>
      <c r="L7" s="27"/>
      <c r="M7" s="27"/>
      <c r="N7" s="27"/>
      <c r="O7" s="27"/>
      <c r="P7" s="27"/>
    </row>
    <row r="8" spans="1:16" x14ac:dyDescent="0.25">
      <c r="A8" s="343" t="s">
        <v>292</v>
      </c>
      <c r="B8" s="105">
        <v>28050.035862434801</v>
      </c>
      <c r="C8" s="196">
        <v>4650.9879320746804</v>
      </c>
      <c r="D8" s="83">
        <f>IF(ISERROR(C8/B8),"n/a",C8/B8)</f>
        <v>0.16581040947271591</v>
      </c>
      <c r="E8" s="41"/>
      <c r="F8" s="54">
        <v>1.6624309879114112</v>
      </c>
      <c r="G8" s="75"/>
      <c r="H8" s="42">
        <f>C8*F8</f>
        <v>7731.9464626829622</v>
      </c>
      <c r="I8" s="83">
        <f>IF(ISERROR(H8/B8),"n/a",H8/B8)</f>
        <v>0.27564836282572275</v>
      </c>
      <c r="J8" s="11"/>
      <c r="K8" s="27"/>
      <c r="L8" s="27"/>
      <c r="M8" s="27"/>
      <c r="N8" s="27"/>
      <c r="O8" s="27"/>
      <c r="P8" s="27"/>
    </row>
    <row r="9" spans="1:16" x14ac:dyDescent="0.25">
      <c r="A9" s="344" t="s">
        <v>102</v>
      </c>
      <c r="B9" s="105">
        <f>SUM(B7:B8)</f>
        <v>28050.035862434801</v>
      </c>
      <c r="C9" s="175">
        <f>SUM(C7:C8)</f>
        <v>4650.9879320746804</v>
      </c>
      <c r="D9" s="83">
        <f>IF(ISERROR(C9/B9),"n/a",C9/B9)</f>
        <v>0.16581040947271591</v>
      </c>
      <c r="E9" s="41"/>
      <c r="F9" s="54"/>
      <c r="G9" s="48"/>
      <c r="H9" s="42">
        <f>SUM(H7:H8)</f>
        <v>7731.9464626829622</v>
      </c>
      <c r="I9" s="83">
        <f>H9/B9</f>
        <v>0.27564836282572275</v>
      </c>
      <c r="J9" s="11"/>
      <c r="K9" s="27"/>
      <c r="L9" s="27"/>
      <c r="M9" s="27"/>
      <c r="N9" s="27"/>
      <c r="O9" s="27"/>
      <c r="P9" s="27"/>
    </row>
    <row r="10" spans="1:16" ht="5.0999999999999996" customHeight="1" x14ac:dyDescent="0.25">
      <c r="A10" s="82"/>
      <c r="B10" s="105"/>
      <c r="C10" s="175"/>
      <c r="D10" s="83"/>
      <c r="E10" s="41"/>
      <c r="F10" s="54"/>
      <c r="G10" s="48"/>
      <c r="H10" s="42"/>
      <c r="I10" s="83"/>
      <c r="J10" s="11"/>
    </row>
    <row r="11" spans="1:16" x14ac:dyDescent="0.25">
      <c r="A11" s="81" t="s">
        <v>274</v>
      </c>
      <c r="B11" s="14"/>
      <c r="C11" s="196"/>
      <c r="D11" s="83"/>
      <c r="E11" s="41"/>
      <c r="F11" s="75"/>
      <c r="G11" s="75"/>
      <c r="H11" s="42"/>
      <c r="I11" s="83"/>
      <c r="J11" s="11"/>
    </row>
    <row r="12" spans="1:16" x14ac:dyDescent="0.25">
      <c r="A12" s="344" t="s">
        <v>130</v>
      </c>
      <c r="B12" s="105">
        <v>0</v>
      </c>
      <c r="C12" s="196">
        <v>0</v>
      </c>
      <c r="D12" s="83" t="str">
        <f>IF(ISERROR(C12/B12),"n/a",C12/B12)</f>
        <v>n/a</v>
      </c>
      <c r="E12" s="41"/>
      <c r="F12" s="54">
        <v>1.6624309879114112</v>
      </c>
      <c r="G12" s="48"/>
      <c r="H12" s="42">
        <f>C12*F12</f>
        <v>0</v>
      </c>
      <c r="I12" s="83" t="str">
        <f>IF(ISERROR(H12/B12),"n/a",H12/B12)</f>
        <v>n/a</v>
      </c>
      <c r="J12" s="11"/>
    </row>
    <row r="13" spans="1:16" x14ac:dyDescent="0.25">
      <c r="A13" s="343" t="s">
        <v>292</v>
      </c>
      <c r="B13" s="105">
        <v>28535.367679488794</v>
      </c>
      <c r="C13" s="196">
        <v>4779.8045516012962</v>
      </c>
      <c r="D13" s="83">
        <f>IF(ISERROR(C13/B13),"n/a",C13/B13)</f>
        <v>0.1675045720555764</v>
      </c>
      <c r="E13" s="41"/>
      <c r="F13" s="54">
        <v>1.6624309879114112</v>
      </c>
      <c r="G13" s="48"/>
      <c r="H13" s="42">
        <f>C13*F13</f>
        <v>7946.0952027420026</v>
      </c>
      <c r="I13" s="83">
        <f>IF(ISERROR(H13/B13),"n/a",H13/B13)</f>
        <v>0.27846479120202999</v>
      </c>
      <c r="J13" s="11"/>
    </row>
    <row r="14" spans="1:16" x14ac:dyDescent="0.25">
      <c r="A14" s="344" t="s">
        <v>102</v>
      </c>
      <c r="B14" s="105">
        <f>SUM(B12:B13)</f>
        <v>28535.367679488794</v>
      </c>
      <c r="C14" s="175">
        <f>SUM(C12:C13)</f>
        <v>4779.8045516012962</v>
      </c>
      <c r="D14" s="83">
        <f>IF(ISERROR(C14/B14),"n/a",C14/B14)</f>
        <v>0.1675045720555764</v>
      </c>
      <c r="E14" s="41"/>
      <c r="F14" s="54"/>
      <c r="G14" s="48"/>
      <c r="H14" s="42">
        <f>SUM(H12:H13)</f>
        <v>7946.0952027420026</v>
      </c>
      <c r="I14" s="83">
        <f>H14/B14</f>
        <v>0.27846479120202999</v>
      </c>
      <c r="J14" s="11"/>
    </row>
    <row r="15" spans="1:16" ht="5.0999999999999996" customHeight="1" x14ac:dyDescent="0.25">
      <c r="A15" s="82"/>
      <c r="B15" s="105"/>
      <c r="C15" s="175"/>
      <c r="D15" s="83"/>
      <c r="E15" s="41"/>
      <c r="F15" s="54"/>
      <c r="G15" s="48"/>
      <c r="H15" s="42"/>
      <c r="I15" s="83"/>
      <c r="J15" s="11"/>
    </row>
    <row r="16" spans="1:16" x14ac:dyDescent="0.25">
      <c r="A16" s="81" t="s">
        <v>279</v>
      </c>
      <c r="B16" s="105"/>
      <c r="C16" s="196"/>
      <c r="D16" s="92"/>
      <c r="E16" s="92"/>
      <c r="F16" s="54"/>
      <c r="G16" s="54"/>
      <c r="H16" s="46"/>
      <c r="I16" s="85"/>
      <c r="J16" s="11"/>
    </row>
    <row r="17" spans="1:10" x14ac:dyDescent="0.25">
      <c r="A17" s="344" t="s">
        <v>130</v>
      </c>
      <c r="B17" s="105">
        <v>0</v>
      </c>
      <c r="C17" s="196">
        <v>0</v>
      </c>
      <c r="D17" s="83" t="str">
        <f>IF(ISERROR(C17/B17),"n/a",C17/B17)</f>
        <v>n/a</v>
      </c>
      <c r="E17" s="41"/>
      <c r="F17" s="54">
        <v>1.6624309879114112</v>
      </c>
      <c r="G17" s="54"/>
      <c r="H17" s="42">
        <f>C17*F17</f>
        <v>0</v>
      </c>
      <c r="I17" s="83" t="str">
        <f>IF(ISERROR(H17/B17),"n/a",H17/B17)</f>
        <v>n/a</v>
      </c>
      <c r="J17" s="11"/>
    </row>
    <row r="18" spans="1:10" x14ac:dyDescent="0.25">
      <c r="A18" s="343" t="s">
        <v>292</v>
      </c>
      <c r="B18" s="105">
        <v>45698.059247861878</v>
      </c>
      <c r="C18" s="196">
        <v>7577.2139159964136</v>
      </c>
      <c r="D18" s="83">
        <f>IF(ISERROR(C18/B18),"n/a",C18/B18)</f>
        <v>0.165810409472716</v>
      </c>
      <c r="E18" s="41"/>
      <c r="F18" s="54">
        <v>1.6624309879114112</v>
      </c>
      <c r="G18" s="54"/>
      <c r="H18" s="42">
        <f>C18*F18</f>
        <v>12596.59521598601</v>
      </c>
      <c r="I18" s="83">
        <f>IF(ISERROR(H18/B18),"n/a",H18/B18)</f>
        <v>0.27564836282572286</v>
      </c>
      <c r="J18" s="11"/>
    </row>
    <row r="19" spans="1:10" x14ac:dyDescent="0.25">
      <c r="A19" s="344" t="s">
        <v>102</v>
      </c>
      <c r="B19" s="105">
        <f>SUM(B17:B18)</f>
        <v>45698.059247861878</v>
      </c>
      <c r="C19" s="175">
        <f>SUM(C17:C18)</f>
        <v>7577.2139159964136</v>
      </c>
      <c r="D19" s="83">
        <f>IF(ISERROR(C19/B19),"n/a",C19/B19)</f>
        <v>0.165810409472716</v>
      </c>
      <c r="E19" s="41"/>
      <c r="F19" s="54"/>
      <c r="G19" s="48"/>
      <c r="H19" s="42">
        <f>SUM(H17:H18)</f>
        <v>12596.59521598601</v>
      </c>
      <c r="I19" s="83">
        <f>H19/B19</f>
        <v>0.27564836282572286</v>
      </c>
      <c r="J19" s="11"/>
    </row>
    <row r="20" spans="1:10" x14ac:dyDescent="0.25">
      <c r="A20" s="11"/>
      <c r="B20" s="105"/>
      <c r="C20" s="175"/>
      <c r="D20" s="83"/>
      <c r="E20" s="41"/>
      <c r="F20" s="54"/>
      <c r="G20" s="48"/>
      <c r="H20" s="42"/>
      <c r="I20" s="83"/>
      <c r="J20" s="11"/>
    </row>
    <row r="21" spans="1:10" x14ac:dyDescent="0.25">
      <c r="A21" s="89" t="s">
        <v>175</v>
      </c>
      <c r="B21" s="14"/>
      <c r="C21" s="196"/>
      <c r="D21" s="85"/>
      <c r="E21" s="45"/>
      <c r="F21" s="76"/>
      <c r="G21" s="76"/>
      <c r="H21" s="46"/>
      <c r="I21" s="85"/>
      <c r="J21" s="11"/>
    </row>
    <row r="22" spans="1:10" x14ac:dyDescent="0.25">
      <c r="A22" s="81" t="s">
        <v>278</v>
      </c>
      <c r="B22" s="48"/>
      <c r="C22" s="196"/>
      <c r="D22" s="92"/>
      <c r="E22" s="48"/>
      <c r="F22" s="48"/>
      <c r="G22" s="48"/>
      <c r="H22" s="196"/>
      <c r="I22" s="92"/>
      <c r="J22" s="11"/>
    </row>
    <row r="23" spans="1:10" x14ac:dyDescent="0.25">
      <c r="A23" s="344" t="s">
        <v>130</v>
      </c>
      <c r="B23" s="105">
        <v>0</v>
      </c>
      <c r="C23" s="196">
        <f>D23*B23</f>
        <v>0</v>
      </c>
      <c r="D23" s="83">
        <v>0</v>
      </c>
      <c r="E23" s="41"/>
      <c r="F23" s="54">
        <v>1.6624309879114112</v>
      </c>
      <c r="G23" s="48"/>
      <c r="H23" s="42">
        <f>C23*F23</f>
        <v>0</v>
      </c>
      <c r="I23" s="83" t="str">
        <f>IF(ISERROR(H23/B23),"n/a",H23/B23)</f>
        <v>n/a</v>
      </c>
      <c r="J23" s="11"/>
    </row>
    <row r="24" spans="1:10" x14ac:dyDescent="0.25">
      <c r="A24" s="343" t="s">
        <v>292</v>
      </c>
      <c r="B24" s="105">
        <v>15359.571755742316</v>
      </c>
      <c r="C24" s="196">
        <f>D24*B24</f>
        <v>4683.3008269161492</v>
      </c>
      <c r="D24" s="83">
        <v>0.30491089864958343</v>
      </c>
      <c r="E24" s="41"/>
      <c r="F24" s="54">
        <v>1.6624309879114112</v>
      </c>
      <c r="G24" s="48"/>
      <c r="H24" s="42">
        <f>C24*F24</f>
        <v>7785.6644203765427</v>
      </c>
      <c r="I24" s="83">
        <f>IF(ISERROR(H24/B24),"n/a",H24/B24)</f>
        <v>0.50689332646698315</v>
      </c>
      <c r="J24" s="11"/>
    </row>
    <row r="25" spans="1:10" x14ac:dyDescent="0.25">
      <c r="A25" s="344" t="s">
        <v>102</v>
      </c>
      <c r="B25" s="105">
        <f>SUM(B23:B24)</f>
        <v>15359.571755742316</v>
      </c>
      <c r="C25" s="175">
        <f>SUM(C23:C24)</f>
        <v>4683.3008269161492</v>
      </c>
      <c r="D25" s="83">
        <f>IF(ISERROR(C25/B25),"n/a",C25/B25)</f>
        <v>0.30491089864958343</v>
      </c>
      <c r="E25" s="41"/>
      <c r="F25" s="54"/>
      <c r="G25" s="48"/>
      <c r="H25" s="42">
        <f>SUM(H23:H24)</f>
        <v>7785.6644203765427</v>
      </c>
      <c r="I25" s="83">
        <f>H25/B25</f>
        <v>0.50689332646698315</v>
      </c>
      <c r="J25" s="11"/>
    </row>
    <row r="26" spans="1:10" ht="5.0999999999999996" customHeight="1" x14ac:dyDescent="0.25">
      <c r="A26" s="82"/>
      <c r="B26" s="14"/>
      <c r="C26" s="196"/>
      <c r="D26" s="92"/>
      <c r="E26" s="202"/>
      <c r="F26" s="203"/>
      <c r="G26" s="203"/>
      <c r="H26" s="196"/>
      <c r="I26" s="92"/>
      <c r="J26" s="11"/>
    </row>
    <row r="27" spans="1:10" x14ac:dyDescent="0.25">
      <c r="A27" s="81" t="s">
        <v>274</v>
      </c>
      <c r="B27" s="48"/>
      <c r="C27" s="196"/>
      <c r="D27" s="92"/>
      <c r="E27" s="48"/>
      <c r="F27" s="48"/>
      <c r="G27" s="48"/>
      <c r="H27" s="196"/>
      <c r="I27" s="92"/>
      <c r="J27" s="11"/>
    </row>
    <row r="28" spans="1:10" x14ac:dyDescent="0.25">
      <c r="A28" s="344" t="s">
        <v>130</v>
      </c>
      <c r="B28" s="105">
        <v>0</v>
      </c>
      <c r="C28" s="196">
        <f>D28*B28</f>
        <v>0</v>
      </c>
      <c r="D28" s="83">
        <v>0</v>
      </c>
      <c r="E28" s="41"/>
      <c r="F28" s="54">
        <v>1.6624309879114112</v>
      </c>
      <c r="G28" s="76"/>
      <c r="H28" s="42">
        <f>C28*F28</f>
        <v>0</v>
      </c>
      <c r="I28" s="83" t="str">
        <f>IF(ISERROR(H28/B28),"n/a",H28/B28)</f>
        <v>n/a</v>
      </c>
      <c r="J28" s="11"/>
    </row>
    <row r="29" spans="1:10" x14ac:dyDescent="0.25">
      <c r="A29" s="343" t="s">
        <v>292</v>
      </c>
      <c r="B29" s="105">
        <v>0</v>
      </c>
      <c r="C29" s="196">
        <v>0</v>
      </c>
      <c r="D29" s="83" t="s">
        <v>106</v>
      </c>
      <c r="E29" s="41"/>
      <c r="F29" s="54">
        <v>1.6624309879114112</v>
      </c>
      <c r="G29" s="76"/>
      <c r="H29" s="42">
        <f>C29*F29</f>
        <v>0</v>
      </c>
      <c r="I29" s="83" t="str">
        <f>IF(ISERROR(H29/B29),"n/a",H29/B29)</f>
        <v>n/a</v>
      </c>
      <c r="J29" s="11"/>
    </row>
    <row r="30" spans="1:10" x14ac:dyDescent="0.25">
      <c r="A30" s="344" t="s">
        <v>102</v>
      </c>
      <c r="B30" s="105">
        <f>SUM(B28:B29)</f>
        <v>0</v>
      </c>
      <c r="C30" s="175">
        <f>SUM(C28:C29)</f>
        <v>0</v>
      </c>
      <c r="D30" s="83" t="str">
        <f>IF(ISERROR(C30/B30),"n/a",C30/B30)</f>
        <v>n/a</v>
      </c>
      <c r="E30" s="41"/>
      <c r="F30" s="54"/>
      <c r="G30" s="48"/>
      <c r="H30" s="42">
        <f>SUM(H28:H29)</f>
        <v>0</v>
      </c>
      <c r="I30" s="83" t="str">
        <f>IF(ISERROR(H30/B30),"n/a",H30/B30)</f>
        <v>n/a</v>
      </c>
      <c r="J30" s="11"/>
    </row>
    <row r="31" spans="1:10" ht="5.0999999999999996" customHeight="1" x14ac:dyDescent="0.25">
      <c r="A31" s="82"/>
      <c r="B31" s="14"/>
      <c r="C31" s="196"/>
      <c r="D31" s="85"/>
      <c r="E31" s="45"/>
      <c r="F31" s="76"/>
      <c r="G31" s="76"/>
      <c r="H31" s="46"/>
      <c r="I31" s="85"/>
      <c r="J31" s="11"/>
    </row>
    <row r="32" spans="1:10" x14ac:dyDescent="0.25">
      <c r="A32" s="81" t="s">
        <v>279</v>
      </c>
      <c r="B32" s="14"/>
      <c r="C32" s="196"/>
      <c r="D32" s="92"/>
      <c r="E32" s="202"/>
      <c r="F32" s="203"/>
      <c r="G32" s="203"/>
      <c r="H32" s="196"/>
      <c r="I32" s="92"/>
      <c r="J32" s="11"/>
    </row>
    <row r="33" spans="1:10" x14ac:dyDescent="0.25">
      <c r="A33" s="344" t="s">
        <v>130</v>
      </c>
      <c r="B33" s="105">
        <v>0</v>
      </c>
      <c r="C33" s="196">
        <f>D33*B33</f>
        <v>0</v>
      </c>
      <c r="D33" s="83">
        <v>0</v>
      </c>
      <c r="E33" s="41"/>
      <c r="F33" s="54">
        <v>1.6624309879114112</v>
      </c>
      <c r="G33" s="203"/>
      <c r="H33" s="42">
        <f>C33*F33</f>
        <v>0</v>
      </c>
      <c r="I33" s="83" t="str">
        <f>IF(ISERROR(H33/B33),"n/a",H33/B33)</f>
        <v>n/a</v>
      </c>
      <c r="J33" s="11"/>
    </row>
    <row r="34" spans="1:10" x14ac:dyDescent="0.25">
      <c r="A34" s="343" t="s">
        <v>292</v>
      </c>
      <c r="B34" s="105">
        <v>33889.556924632314</v>
      </c>
      <c r="C34" s="196">
        <f>D34*B34</f>
        <v>10333.295256725847</v>
      </c>
      <c r="D34" s="83">
        <v>0.30491089864958332</v>
      </c>
      <c r="E34" s="41"/>
      <c r="F34" s="54">
        <v>1.6624309879114112</v>
      </c>
      <c r="G34" s="203"/>
      <c r="H34" s="42">
        <f>C34*F34</f>
        <v>17178.39024201905</v>
      </c>
      <c r="I34" s="83">
        <f>IF(ISERROR(H34/B34),"n/a",H34/B34)</f>
        <v>0.50689332646698293</v>
      </c>
      <c r="J34" s="11"/>
    </row>
    <row r="35" spans="1:10" x14ac:dyDescent="0.25">
      <c r="A35" s="344" t="s">
        <v>102</v>
      </c>
      <c r="B35" s="105">
        <f>SUM(B33:B34)</f>
        <v>33889.556924632314</v>
      </c>
      <c r="C35" s="175">
        <f>SUM(C33:C34)</f>
        <v>10333.295256725847</v>
      </c>
      <c r="D35" s="83">
        <f>IF(ISERROR(C35/B35),"n/a",C35/B35)</f>
        <v>0.30491089864958332</v>
      </c>
      <c r="E35" s="41"/>
      <c r="F35" s="54"/>
      <c r="G35" s="48"/>
      <c r="H35" s="42">
        <f>SUM(H33:H34)</f>
        <v>17178.39024201905</v>
      </c>
      <c r="I35" s="83">
        <f>H35/B35</f>
        <v>0.50689332646698293</v>
      </c>
      <c r="J35" s="11"/>
    </row>
    <row r="36" spans="1:10" x14ac:dyDescent="0.25">
      <c r="A36" s="82"/>
      <c r="B36" s="105"/>
      <c r="C36" s="196"/>
      <c r="D36" s="83"/>
      <c r="E36" s="41"/>
      <c r="F36" s="54"/>
      <c r="G36" s="203"/>
      <c r="H36" s="42"/>
      <c r="I36" s="452"/>
      <c r="J36" s="11"/>
    </row>
    <row r="37" spans="1:10" ht="15.6" x14ac:dyDescent="0.3">
      <c r="A37" s="158" t="s">
        <v>650</v>
      </c>
      <c r="J37" s="11"/>
    </row>
    <row r="38" spans="1:10" ht="15.6" x14ac:dyDescent="0.3">
      <c r="A38" s="158" t="s">
        <v>787</v>
      </c>
      <c r="J38" s="11"/>
    </row>
    <row r="39" spans="1:10" ht="26.4" x14ac:dyDescent="0.25">
      <c r="B39" s="168" t="s">
        <v>250</v>
      </c>
      <c r="C39" s="189" t="s">
        <v>249</v>
      </c>
      <c r="D39" s="8" t="s">
        <v>104</v>
      </c>
      <c r="E39" s="8"/>
      <c r="F39" s="199" t="s">
        <v>246</v>
      </c>
      <c r="G39" s="87"/>
      <c r="H39" s="160" t="s">
        <v>218</v>
      </c>
      <c r="I39" s="41" t="s">
        <v>133</v>
      </c>
      <c r="J39" s="11"/>
    </row>
    <row r="40" spans="1:10" x14ac:dyDescent="0.25">
      <c r="A40" s="15" t="s">
        <v>290</v>
      </c>
      <c r="B40" s="14"/>
      <c r="C40" s="196"/>
      <c r="D40" s="92"/>
      <c r="E40" s="202"/>
      <c r="F40" s="203"/>
      <c r="G40" s="203"/>
      <c r="H40" s="196"/>
      <c r="I40" s="92"/>
      <c r="J40" s="11"/>
    </row>
    <row r="41" spans="1:10" x14ac:dyDescent="0.25">
      <c r="A41" s="89" t="s">
        <v>170</v>
      </c>
      <c r="B41" s="48"/>
      <c r="C41" s="196"/>
      <c r="D41" s="92"/>
      <c r="E41" s="48"/>
      <c r="F41" s="48"/>
      <c r="G41" s="48"/>
      <c r="H41" s="196"/>
      <c r="I41" s="92"/>
      <c r="J41" s="11"/>
    </row>
    <row r="42" spans="1:10" x14ac:dyDescent="0.25">
      <c r="A42" s="81" t="s">
        <v>289</v>
      </c>
      <c r="B42" s="105"/>
      <c r="C42" s="196"/>
      <c r="D42" s="83"/>
      <c r="E42" s="41"/>
      <c r="F42" s="54"/>
      <c r="G42" s="75"/>
      <c r="H42" s="42"/>
      <c r="I42" s="83"/>
      <c r="J42" s="11"/>
    </row>
    <row r="43" spans="1:10" x14ac:dyDescent="0.25">
      <c r="A43" s="344" t="s">
        <v>130</v>
      </c>
      <c r="B43" s="105">
        <v>0</v>
      </c>
      <c r="C43" s="196">
        <v>0</v>
      </c>
      <c r="D43" s="83" t="str">
        <f>IF(ISERROR(C43/B43),"n/a",C43/B43)</f>
        <v>n/a</v>
      </c>
      <c r="E43" s="41"/>
      <c r="F43" s="54">
        <v>1.6624309879114112</v>
      </c>
      <c r="G43" s="48"/>
      <c r="H43" s="42">
        <f>C43*F43</f>
        <v>0</v>
      </c>
      <c r="I43" s="83" t="str">
        <f>IF(ISERROR(H43/B43),"n/a",H43/B43)</f>
        <v>n/a</v>
      </c>
      <c r="J43" s="11"/>
    </row>
    <row r="44" spans="1:10" x14ac:dyDescent="0.25">
      <c r="A44" s="343" t="s">
        <v>292</v>
      </c>
      <c r="B44" s="105">
        <v>928.16545598002233</v>
      </c>
      <c r="C44" s="196">
        <v>203.59957535921728</v>
      </c>
      <c r="D44" s="83">
        <f>IF(ISERROR(C44/B44),"n/a",C44/B44)</f>
        <v>0.21935698430431516</v>
      </c>
      <c r="E44" s="41"/>
      <c r="F44" s="54">
        <v>1.6624309879114112</v>
      </c>
      <c r="G44" s="48"/>
      <c r="H44" s="42">
        <f>C44*F44</f>
        <v>338.47024320276739</v>
      </c>
      <c r="I44" s="83">
        <f>IF(ISERROR(H44/B44),"n/a",H44/B44)</f>
        <v>0.36466584812229058</v>
      </c>
      <c r="J44" s="11"/>
    </row>
    <row r="45" spans="1:10" x14ac:dyDescent="0.25">
      <c r="A45" s="344" t="s">
        <v>102</v>
      </c>
      <c r="B45" s="105">
        <f>SUM(B43:B44)</f>
        <v>928.16545598002233</v>
      </c>
      <c r="C45" s="175">
        <f>SUM(C43:C44)</f>
        <v>203.59957535921728</v>
      </c>
      <c r="D45" s="83">
        <f>IF(ISERROR(C45/B45),"n/a",C45/B45)</f>
        <v>0.21935698430431516</v>
      </c>
      <c r="E45" s="41"/>
      <c r="F45" s="54"/>
      <c r="G45" s="48"/>
      <c r="H45" s="42">
        <f>SUM(H43:H44)</f>
        <v>338.47024320276739</v>
      </c>
      <c r="I45" s="83">
        <f>H45/B45</f>
        <v>0.36466584812229058</v>
      </c>
      <c r="J45" s="11"/>
    </row>
    <row r="46" spans="1:10" ht="5.0999999999999996" customHeight="1" x14ac:dyDescent="0.25">
      <c r="A46" s="111"/>
      <c r="B46" s="105"/>
      <c r="C46" s="175"/>
      <c r="D46" s="83"/>
      <c r="E46" s="41"/>
      <c r="F46" s="54"/>
      <c r="G46" s="48"/>
      <c r="H46" s="42"/>
      <c r="I46" s="83"/>
      <c r="J46" s="11"/>
    </row>
    <row r="47" spans="1:10" x14ac:dyDescent="0.25">
      <c r="A47" s="81" t="s">
        <v>168</v>
      </c>
      <c r="B47" s="105"/>
      <c r="C47" s="196"/>
      <c r="D47" s="83"/>
      <c r="E47" s="41"/>
      <c r="F47" s="54"/>
      <c r="G47" s="48"/>
      <c r="H47" s="42"/>
      <c r="I47" s="83"/>
      <c r="J47" s="11"/>
    </row>
    <row r="48" spans="1:10" x14ac:dyDescent="0.25">
      <c r="A48" s="344" t="s">
        <v>130</v>
      </c>
      <c r="B48" s="105">
        <v>0</v>
      </c>
      <c r="C48" s="196">
        <v>0</v>
      </c>
      <c r="D48" s="83" t="str">
        <f>IF(ISERROR(C48/B48),"n/a",C48/B48)</f>
        <v>n/a</v>
      </c>
      <c r="E48" s="41"/>
      <c r="F48" s="54">
        <v>1.6624309879114112</v>
      </c>
      <c r="G48" s="75"/>
      <c r="H48" s="42">
        <f>C48*F48</f>
        <v>0</v>
      </c>
      <c r="I48" s="83" t="str">
        <f>IF(ISERROR(H48/B48),"n/a",H48/B48)</f>
        <v>n/a</v>
      </c>
      <c r="J48" s="11"/>
    </row>
    <row r="49" spans="1:10" x14ac:dyDescent="0.25">
      <c r="A49" s="343" t="s">
        <v>292</v>
      </c>
      <c r="B49" s="105">
        <v>4036.3560998416533</v>
      </c>
      <c r="C49" s="196">
        <v>885.4029016395923</v>
      </c>
      <c r="D49" s="83">
        <f>IF(ISERROR(C49/B49),"n/a",C49/B49)</f>
        <v>0.21935698430431516</v>
      </c>
      <c r="E49" s="41"/>
      <c r="F49" s="54">
        <v>1.6624309879114112</v>
      </c>
      <c r="G49" s="75"/>
      <c r="H49" s="42">
        <f>C49*F49</f>
        <v>1471.9212204723374</v>
      </c>
      <c r="I49" s="83">
        <f>IF(ISERROR(H49/B49),"n/a",H49/B49)</f>
        <v>0.36466584812229053</v>
      </c>
      <c r="J49" s="11"/>
    </row>
    <row r="50" spans="1:10" x14ac:dyDescent="0.25">
      <c r="A50" s="344" t="s">
        <v>102</v>
      </c>
      <c r="B50" s="105">
        <f>SUM(B48:B49)</f>
        <v>4036.3560998416533</v>
      </c>
      <c r="C50" s="175">
        <f>SUM(C48:C49)</f>
        <v>885.4029016395923</v>
      </c>
      <c r="D50" s="83">
        <f>IF(ISERROR(C50/B50),"n/a",C50/B50)</f>
        <v>0.21935698430431516</v>
      </c>
      <c r="E50" s="41"/>
      <c r="F50" s="54"/>
      <c r="G50" s="48"/>
      <c r="H50" s="42">
        <f>SUM(H48:H49)</f>
        <v>1471.9212204723374</v>
      </c>
      <c r="I50" s="83">
        <f>H50/B50</f>
        <v>0.36466584812229053</v>
      </c>
      <c r="J50" s="11"/>
    </row>
    <row r="51" spans="1:10" ht="5.0999999999999996" customHeight="1" x14ac:dyDescent="0.25">
      <c r="A51" s="111"/>
      <c r="B51" s="105"/>
      <c r="C51" s="175"/>
      <c r="D51" s="83"/>
      <c r="E51" s="41"/>
      <c r="F51" s="54"/>
      <c r="G51" s="48"/>
      <c r="H51" s="42"/>
      <c r="I51" s="83"/>
      <c r="J51" s="11"/>
    </row>
    <row r="52" spans="1:10" x14ac:dyDescent="0.25">
      <c r="A52" s="89" t="s">
        <v>169</v>
      </c>
      <c r="B52" s="14"/>
      <c r="C52" s="196"/>
      <c r="D52" s="92"/>
      <c r="E52" s="202"/>
      <c r="F52" s="203"/>
      <c r="G52" s="203"/>
      <c r="H52" s="196"/>
      <c r="I52" s="92"/>
      <c r="J52" s="11"/>
    </row>
    <row r="53" spans="1:10" x14ac:dyDescent="0.25">
      <c r="A53" s="81" t="s">
        <v>289</v>
      </c>
      <c r="B53" s="14"/>
      <c r="C53" s="196"/>
      <c r="D53" s="92"/>
      <c r="E53" s="202"/>
      <c r="F53" s="203"/>
      <c r="G53" s="203"/>
      <c r="H53" s="196"/>
      <c r="I53" s="92"/>
      <c r="J53" s="11"/>
    </row>
    <row r="54" spans="1:10" x14ac:dyDescent="0.25">
      <c r="A54" s="344" t="s">
        <v>130</v>
      </c>
      <c r="B54" s="105">
        <v>0</v>
      </c>
      <c r="C54" s="196">
        <v>0</v>
      </c>
      <c r="D54" s="83" t="str">
        <f>IF(ISERROR(C54/B54),"n/a",C54/B54)</f>
        <v>n/a</v>
      </c>
      <c r="E54" s="41"/>
      <c r="F54" s="54">
        <v>1.6624309879114112</v>
      </c>
      <c r="G54" s="75"/>
      <c r="H54" s="42">
        <f>IF(B54=0,0,C54*F54)</f>
        <v>0</v>
      </c>
      <c r="I54" s="83" t="str">
        <f>IF(ISERROR(H54/B54),"n/a",H54/B54)</f>
        <v>n/a</v>
      </c>
      <c r="J54" s="11"/>
    </row>
    <row r="55" spans="1:10" x14ac:dyDescent="0.25">
      <c r="A55" s="343" t="s">
        <v>292</v>
      </c>
      <c r="B55" s="105">
        <v>26.030814387156671</v>
      </c>
      <c r="C55" s="196">
        <v>5.710040942952066</v>
      </c>
      <c r="D55" s="83">
        <f>IF(ISERROR(C55/B55),"n/a",C55/B55)</f>
        <v>0.21935698430431511</v>
      </c>
      <c r="E55" s="41"/>
      <c r="F55" s="54">
        <v>1.6624309879114112</v>
      </c>
      <c r="G55" s="75"/>
      <c r="H55" s="42">
        <f>C55*F55</f>
        <v>9.4925490058064081</v>
      </c>
      <c r="I55" s="83">
        <f>IF(ISERROR(H55/B55),"n/a",H55/B55)</f>
        <v>0.36466584812229047</v>
      </c>
      <c r="J55" s="11"/>
    </row>
    <row r="56" spans="1:10" x14ac:dyDescent="0.25">
      <c r="A56" s="344" t="s">
        <v>102</v>
      </c>
      <c r="B56" s="105">
        <f>SUM(B54:B55)</f>
        <v>26.030814387156671</v>
      </c>
      <c r="C56" s="175">
        <f>SUM(C54:C55)</f>
        <v>5.710040942952066</v>
      </c>
      <c r="D56" s="83">
        <f>IF(ISERROR(C56/B56),"n/a",C56/B56)</f>
        <v>0.21935698430431511</v>
      </c>
      <c r="E56" s="41"/>
      <c r="F56" s="54"/>
      <c r="G56" s="48"/>
      <c r="H56" s="42">
        <f>SUM(H54:H55)</f>
        <v>9.4925490058064081</v>
      </c>
      <c r="I56" s="83">
        <f>H56/B56</f>
        <v>0.36466584812229047</v>
      </c>
      <c r="J56" s="11"/>
    </row>
    <row r="57" spans="1:10" ht="5.0999999999999996" customHeight="1" x14ac:dyDescent="0.25">
      <c r="A57" s="111"/>
      <c r="B57" s="105"/>
      <c r="C57" s="175"/>
      <c r="D57" s="83"/>
      <c r="E57" s="41"/>
      <c r="F57" s="54"/>
      <c r="G57" s="48"/>
      <c r="H57" s="42"/>
      <c r="I57" s="83"/>
      <c r="J57" s="11"/>
    </row>
    <row r="58" spans="1:10" x14ac:dyDescent="0.25">
      <c r="A58" s="81" t="s">
        <v>168</v>
      </c>
      <c r="B58" s="14"/>
      <c r="C58" s="196"/>
      <c r="D58" s="85"/>
      <c r="E58" s="45"/>
      <c r="F58" s="76"/>
      <c r="G58" s="76"/>
      <c r="H58" s="46"/>
      <c r="I58" s="85"/>
      <c r="J58" s="11"/>
    </row>
    <row r="59" spans="1:10" x14ac:dyDescent="0.25">
      <c r="A59" s="344" t="s">
        <v>130</v>
      </c>
      <c r="B59" s="105">
        <v>0</v>
      </c>
      <c r="C59" s="196">
        <v>0</v>
      </c>
      <c r="D59" s="83" t="str">
        <f>IF(ISERROR(C59/B59),"n/a",C59/B59)</f>
        <v>n/a</v>
      </c>
      <c r="E59" s="41"/>
      <c r="F59" s="54">
        <v>1.6624309879114112</v>
      </c>
      <c r="G59" s="75"/>
      <c r="H59" s="42">
        <f>C59*F59</f>
        <v>0</v>
      </c>
      <c r="I59" s="83" t="str">
        <f>IF(ISERROR(H59/B59),"n/a",H59/B59)</f>
        <v>n/a</v>
      </c>
      <c r="J59" s="11"/>
    </row>
    <row r="60" spans="1:10" x14ac:dyDescent="0.25">
      <c r="A60" s="343" t="s">
        <v>292</v>
      </c>
      <c r="B60" s="105">
        <v>0</v>
      </c>
      <c r="C60" s="196">
        <v>0</v>
      </c>
      <c r="D60" s="83" t="str">
        <f>IF(ISERROR(C60/B60),"n/a",C60/B60)</f>
        <v>n/a</v>
      </c>
      <c r="E60" s="41"/>
      <c r="F60" s="54">
        <v>1.6624309879114112</v>
      </c>
      <c r="G60" s="75"/>
      <c r="H60" s="42">
        <f>C60*F60</f>
        <v>0</v>
      </c>
      <c r="I60" s="83" t="str">
        <f>IF(ISERROR(H60/B60),"n/a",H60/B60)</f>
        <v>n/a</v>
      </c>
      <c r="J60" s="11"/>
    </row>
    <row r="61" spans="1:10" x14ac:dyDescent="0.25">
      <c r="A61" s="344" t="s">
        <v>102</v>
      </c>
      <c r="B61" s="105">
        <f>SUM(B59:B60)</f>
        <v>0</v>
      </c>
      <c r="C61" s="175">
        <f>SUM(C59:C60)</f>
        <v>0</v>
      </c>
      <c r="D61" s="83" t="str">
        <f>IF(ISERROR(C61/B61),"n/a",C61/B61)</f>
        <v>n/a</v>
      </c>
      <c r="E61" s="41"/>
      <c r="F61" s="54"/>
      <c r="G61" s="48"/>
      <c r="H61" s="42">
        <f>SUM(H59:H60)</f>
        <v>0</v>
      </c>
      <c r="I61" s="83" t="str">
        <f>IF(ISERROR(H61/B61),"n/a",H61/B61)</f>
        <v>n/a</v>
      </c>
      <c r="J61" s="11"/>
    </row>
    <row r="62" spans="1:10" x14ac:dyDescent="0.25">
      <c r="A62" s="344"/>
      <c r="B62" s="105"/>
      <c r="C62" s="175"/>
      <c r="D62" s="83"/>
      <c r="E62" s="41"/>
      <c r="F62" s="54"/>
      <c r="G62" s="48"/>
      <c r="H62" s="42"/>
      <c r="I62" s="83"/>
      <c r="J62" s="11"/>
    </row>
    <row r="63" spans="1:10" ht="15.6" x14ac:dyDescent="0.3">
      <c r="A63" s="158" t="s">
        <v>651</v>
      </c>
      <c r="J63" s="11"/>
    </row>
    <row r="64" spans="1:10" ht="15.6" x14ac:dyDescent="0.3">
      <c r="A64" s="158" t="s">
        <v>787</v>
      </c>
      <c r="J64" s="11"/>
    </row>
    <row r="65" spans="1:16" ht="26.4" x14ac:dyDescent="0.25">
      <c r="B65" s="168" t="s">
        <v>250</v>
      </c>
      <c r="C65" s="189" t="s">
        <v>249</v>
      </c>
      <c r="D65" s="8" t="s">
        <v>104</v>
      </c>
      <c r="E65" s="8"/>
      <c r="F65" s="199" t="s">
        <v>246</v>
      </c>
      <c r="G65" s="87"/>
      <c r="H65" s="160" t="s">
        <v>218</v>
      </c>
      <c r="I65" s="41" t="s">
        <v>133</v>
      </c>
      <c r="J65" s="11"/>
    </row>
    <row r="66" spans="1:16" x14ac:dyDescent="0.25">
      <c r="A66" s="15" t="s">
        <v>783</v>
      </c>
      <c r="B66" s="168"/>
      <c r="C66" s="189"/>
      <c r="D66" s="8"/>
      <c r="E66" s="8"/>
      <c r="F66" s="199"/>
      <c r="G66" s="87"/>
      <c r="H66" s="160"/>
      <c r="I66" s="41"/>
      <c r="J66" s="11"/>
    </row>
    <row r="67" spans="1:16" x14ac:dyDescent="0.25">
      <c r="A67" s="89" t="s">
        <v>174</v>
      </c>
      <c r="B67" s="105"/>
      <c r="C67" s="175"/>
      <c r="D67" s="83"/>
      <c r="E67" s="41"/>
      <c r="F67" s="54"/>
      <c r="G67" s="48"/>
      <c r="H67" s="42"/>
      <c r="I67" s="83"/>
      <c r="J67" s="11"/>
      <c r="M67" s="140"/>
      <c r="N67" s="140"/>
      <c r="O67" s="140"/>
      <c r="P67" s="140"/>
    </row>
    <row r="68" spans="1:16" x14ac:dyDescent="0.25">
      <c r="A68" s="82" t="s">
        <v>274</v>
      </c>
      <c r="B68" s="105"/>
      <c r="C68" s="175"/>
      <c r="D68" s="83"/>
      <c r="E68" s="41"/>
      <c r="F68" s="54"/>
      <c r="G68" s="48"/>
      <c r="H68" s="42"/>
      <c r="I68" s="83"/>
      <c r="J68" s="11"/>
    </row>
    <row r="69" spans="1:16" x14ac:dyDescent="0.25">
      <c r="A69" s="344" t="s">
        <v>130</v>
      </c>
      <c r="B69" s="105">
        <v>0</v>
      </c>
      <c r="C69" s="196">
        <v>0</v>
      </c>
      <c r="D69" s="83" t="str">
        <f>IF(ISERROR(C69/B69),"n/a",C69/B69)</f>
        <v>n/a</v>
      </c>
      <c r="E69" s="41"/>
      <c r="F69" s="54">
        <v>1.6624309879114112</v>
      </c>
      <c r="G69" s="48"/>
      <c r="H69" s="42">
        <f>C69*F69</f>
        <v>0</v>
      </c>
      <c r="I69" s="83" t="str">
        <f>IF(ISERROR(H69/B69),"n/a",H69/B69)</f>
        <v>n/a</v>
      </c>
      <c r="J69" s="11"/>
    </row>
    <row r="70" spans="1:16" x14ac:dyDescent="0.25">
      <c r="A70" s="343" t="s">
        <v>292</v>
      </c>
      <c r="B70" s="105">
        <v>7949.7352547805231</v>
      </c>
      <c r="C70" s="196">
        <v>106.16839751414182</v>
      </c>
      <c r="D70" s="83">
        <f>IF(ISERROR(C70/B70),"n/a",C70/B70)</f>
        <v>1.3354960147924186E-2</v>
      </c>
      <c r="E70" s="41"/>
      <c r="F70" s="54">
        <v>1.6624309879114112</v>
      </c>
      <c r="G70" s="48"/>
      <c r="H70" s="42">
        <f>C70*F70</f>
        <v>176.49763396440619</v>
      </c>
      <c r="I70" s="83">
        <f>IF(ISERROR(H70/B70),"n/a",H70/B70)</f>
        <v>2.2201699592231131E-2</v>
      </c>
      <c r="J70" s="11"/>
    </row>
    <row r="71" spans="1:16" x14ac:dyDescent="0.25">
      <c r="A71" s="344" t="s">
        <v>102</v>
      </c>
      <c r="B71" s="105">
        <f>SUM(B69:B70)</f>
        <v>7949.7352547805231</v>
      </c>
      <c r="C71" s="196">
        <f>SUM(C69:C70)</f>
        <v>106.16839751414182</v>
      </c>
      <c r="D71" s="83">
        <f>IF(ISERROR(C71/B71),"n/a",C71/B71)</f>
        <v>1.3354960147924186E-2</v>
      </c>
      <c r="E71" s="41"/>
      <c r="F71" s="54"/>
      <c r="G71" s="48"/>
      <c r="H71" s="42">
        <f>SUM(H69:H70)</f>
        <v>176.49763396440619</v>
      </c>
      <c r="I71" s="83">
        <f>H71/B71</f>
        <v>2.2201699592231131E-2</v>
      </c>
      <c r="J71" s="11"/>
    </row>
    <row r="72" spans="1:16" ht="5.0999999999999996" customHeight="1" x14ac:dyDescent="0.25">
      <c r="A72" s="111"/>
      <c r="B72" s="105"/>
      <c r="C72" s="175"/>
      <c r="D72" s="83"/>
      <c r="E72" s="41"/>
      <c r="F72" s="54"/>
      <c r="G72" s="48"/>
      <c r="H72" s="42"/>
      <c r="I72" s="83"/>
      <c r="J72" s="11"/>
    </row>
    <row r="73" spans="1:16" x14ac:dyDescent="0.25">
      <c r="A73" s="81" t="s">
        <v>279</v>
      </c>
      <c r="B73" s="105"/>
      <c r="C73" s="175"/>
      <c r="D73" s="83"/>
      <c r="E73" s="41"/>
      <c r="F73" s="54"/>
      <c r="G73" s="48"/>
      <c r="H73" s="42"/>
      <c r="I73" s="83"/>
      <c r="J73" s="11"/>
    </row>
    <row r="74" spans="1:16" x14ac:dyDescent="0.25">
      <c r="A74" s="344" t="s">
        <v>130</v>
      </c>
      <c r="B74" s="105">
        <v>0</v>
      </c>
      <c r="C74" s="196">
        <v>0</v>
      </c>
      <c r="D74" s="83" t="str">
        <f>IF(ISERROR(C74/B74),"n/a",C74/B74)</f>
        <v>n/a</v>
      </c>
      <c r="E74" s="41"/>
      <c r="F74" s="54">
        <v>1.6624309879114112</v>
      </c>
      <c r="G74" s="48"/>
      <c r="H74" s="42">
        <f>C74*F74</f>
        <v>0</v>
      </c>
      <c r="I74" s="83" t="str">
        <f>IF(ISERROR(H74/B74),"n/a",H74/B74)</f>
        <v>n/a</v>
      </c>
      <c r="J74" s="11"/>
    </row>
    <row r="75" spans="1:16" x14ac:dyDescent="0.25">
      <c r="A75" s="343" t="s">
        <v>292</v>
      </c>
      <c r="B75" s="105">
        <v>33919.580685290159</v>
      </c>
      <c r="C75" s="196">
        <v>452.99464828635064</v>
      </c>
      <c r="D75" s="83">
        <f>IF(ISERROR(C75/B75),"n/a",C75/B75)</f>
        <v>1.3354960147924234E-2</v>
      </c>
      <c r="E75" s="41"/>
      <c r="F75" s="54">
        <v>1.6624309879114112</v>
      </c>
      <c r="G75" s="48"/>
      <c r="H75" s="42">
        <f>C75*F75</f>
        <v>753.07234066926014</v>
      </c>
      <c r="I75" s="83">
        <f>IF(ISERROR(H75/B75),"n/a",H75/B75)</f>
        <v>2.220169959223121E-2</v>
      </c>
      <c r="J75" s="11"/>
    </row>
    <row r="76" spans="1:16" x14ac:dyDescent="0.25">
      <c r="A76" s="344" t="s">
        <v>102</v>
      </c>
      <c r="B76" s="105">
        <f>SUM(B74:B75)</f>
        <v>33919.580685290159</v>
      </c>
      <c r="C76" s="196">
        <f>SUM(C74:C75)</f>
        <v>452.99464828635064</v>
      </c>
      <c r="D76" s="83">
        <f>IF(ISERROR(C76/B76),"n/a",C76/B76)</f>
        <v>1.3354960147924234E-2</v>
      </c>
      <c r="E76" s="41"/>
      <c r="F76" s="54"/>
      <c r="G76" s="48"/>
      <c r="H76" s="42">
        <f>SUM(H74:H75)</f>
        <v>753.07234066926014</v>
      </c>
      <c r="I76" s="83">
        <f>H76/B76</f>
        <v>2.220169959223121E-2</v>
      </c>
      <c r="J76" s="11"/>
    </row>
    <row r="77" spans="1:16" ht="5.0999999999999996" customHeight="1" x14ac:dyDescent="0.25">
      <c r="A77" s="344"/>
      <c r="B77" s="105"/>
      <c r="C77" s="175"/>
      <c r="D77" s="83"/>
      <c r="E77" s="41"/>
      <c r="F77" s="54"/>
      <c r="G77" s="48"/>
      <c r="H77" s="42"/>
      <c r="I77" s="83"/>
      <c r="J77" s="11"/>
    </row>
    <row r="78" spans="1:16" x14ac:dyDescent="0.25">
      <c r="A78" s="21" t="s">
        <v>308</v>
      </c>
      <c r="B78" s="105"/>
      <c r="C78" s="175"/>
      <c r="D78" s="83"/>
      <c r="E78" s="41"/>
      <c r="F78" s="54"/>
      <c r="G78" s="48"/>
      <c r="H78" s="42"/>
      <c r="I78" s="83"/>
      <c r="J78" s="11"/>
    </row>
    <row r="79" spans="1:16" x14ac:dyDescent="0.25">
      <c r="A79" s="82" t="s">
        <v>274</v>
      </c>
      <c r="B79" s="105"/>
      <c r="C79" s="175"/>
      <c r="D79" s="83"/>
      <c r="E79" s="41"/>
      <c r="F79" s="54"/>
      <c r="G79" s="48"/>
      <c r="H79" s="42"/>
      <c r="I79" s="83"/>
      <c r="J79" s="11"/>
    </row>
    <row r="80" spans="1:16" x14ac:dyDescent="0.25">
      <c r="A80" s="344" t="s">
        <v>130</v>
      </c>
      <c r="B80" s="105">
        <v>0</v>
      </c>
      <c r="C80" s="175">
        <v>0</v>
      </c>
      <c r="D80" s="83" t="str">
        <f>IF(ISERROR(C80/B80),"n/a",C80/B80)</f>
        <v>n/a</v>
      </c>
      <c r="E80" s="41"/>
      <c r="F80" s="54">
        <v>1.6624309879114112</v>
      </c>
      <c r="G80" s="48"/>
      <c r="H80" s="42">
        <f>C80*F80</f>
        <v>0</v>
      </c>
      <c r="I80" s="83" t="str">
        <f>IF(ISERROR(H80/B80),"n/a",H80/B80)</f>
        <v>n/a</v>
      </c>
      <c r="J80" s="11"/>
    </row>
    <row r="81" spans="1:10" x14ac:dyDescent="0.25">
      <c r="A81" s="343" t="s">
        <v>292</v>
      </c>
      <c r="B81" s="105">
        <v>7949.7352547805231</v>
      </c>
      <c r="C81" s="175">
        <v>1945.6517611705431</v>
      </c>
      <c r="D81" s="83">
        <f>IF(ISERROR(C81/B81),"n/a",C81/B81)</f>
        <v>0.24474422088465622</v>
      </c>
      <c r="E81" s="41"/>
      <c r="F81" s="54">
        <v>1.6624309879114112</v>
      </c>
      <c r="G81" s="48"/>
      <c r="H81" s="42">
        <f>C81*F81</f>
        <v>3234.511779454323</v>
      </c>
      <c r="I81" s="83">
        <f>IF(ISERROR(H81/B81),"n/a",H81/B81)</f>
        <v>0.40687037691088768</v>
      </c>
      <c r="J81" s="11"/>
    </row>
    <row r="82" spans="1:10" x14ac:dyDescent="0.25">
      <c r="A82" s="344" t="s">
        <v>102</v>
      </c>
      <c r="B82" s="105">
        <f>SUM(B80:B81)</f>
        <v>7949.7352547805231</v>
      </c>
      <c r="C82" s="196">
        <f>SUM(C80:C81)</f>
        <v>1945.6517611705431</v>
      </c>
      <c r="D82" s="83">
        <f>IF(ISERROR(C82/B82),"n/a",C82/B82)</f>
        <v>0.24474422088465622</v>
      </c>
      <c r="E82" s="41"/>
      <c r="F82" s="54"/>
      <c r="G82" s="48"/>
      <c r="H82" s="42">
        <f>SUM(H80:H81)</f>
        <v>3234.511779454323</v>
      </c>
      <c r="I82" s="83">
        <f>H82/B82</f>
        <v>0.40687037691088768</v>
      </c>
      <c r="J82" s="11"/>
    </row>
    <row r="83" spans="1:10" ht="5.0999999999999996" customHeight="1" x14ac:dyDescent="0.25">
      <c r="A83" s="111"/>
      <c r="B83" s="105"/>
      <c r="C83" s="175"/>
      <c r="D83" s="83"/>
      <c r="E83" s="41"/>
      <c r="F83" s="54"/>
      <c r="G83" s="48"/>
      <c r="H83" s="42"/>
      <c r="I83" s="83"/>
      <c r="J83" s="11"/>
    </row>
    <row r="84" spans="1:10" x14ac:dyDescent="0.25">
      <c r="A84" s="81" t="s">
        <v>279</v>
      </c>
      <c r="B84" s="105"/>
      <c r="C84" s="175"/>
      <c r="D84" s="83"/>
      <c r="E84" s="41"/>
      <c r="F84" s="54"/>
      <c r="G84" s="48"/>
      <c r="H84" s="42"/>
      <c r="I84" s="83"/>
      <c r="J84" s="11"/>
    </row>
    <row r="85" spans="1:10" x14ac:dyDescent="0.25">
      <c r="A85" s="344" t="s">
        <v>130</v>
      </c>
      <c r="B85" s="105">
        <v>0</v>
      </c>
      <c r="C85" s="175">
        <v>0</v>
      </c>
      <c r="D85" s="83" t="str">
        <f>IF(ISERROR(C85/B85),"n/a",C85/B85)</f>
        <v>n/a</v>
      </c>
      <c r="E85" s="41"/>
      <c r="F85" s="54">
        <v>1.6624309879114112</v>
      </c>
      <c r="G85" s="48"/>
      <c r="H85" s="42">
        <f>C85*F85</f>
        <v>0</v>
      </c>
      <c r="I85" s="83" t="str">
        <f>IF(ISERROR(H85/B85),"n/a",H85/B85)</f>
        <v>n/a</v>
      </c>
      <c r="J85" s="11"/>
    </row>
    <row r="86" spans="1:10" x14ac:dyDescent="0.25">
      <c r="A86" s="343" t="s">
        <v>292</v>
      </c>
      <c r="B86" s="105">
        <v>33919.580685290159</v>
      </c>
      <c r="C86" s="175">
        <v>8301.6213475555724</v>
      </c>
      <c r="D86" s="83">
        <f>IF(ISERROR(C86/B86),"n/a",C86/B86)</f>
        <v>0.24474422088465619</v>
      </c>
      <c r="E86" s="41"/>
      <c r="F86" s="54">
        <v>1.6624309879114112</v>
      </c>
      <c r="G86" s="48"/>
      <c r="H86" s="42">
        <f>C86*F86</f>
        <v>13800.87257808327</v>
      </c>
      <c r="I86" s="83">
        <f>IF(ISERROR(H86/B86),"n/a",H86/B86)</f>
        <v>0.40687037691088762</v>
      </c>
      <c r="J86" s="11"/>
    </row>
    <row r="87" spans="1:10" x14ac:dyDescent="0.25">
      <c r="A87" s="344" t="s">
        <v>102</v>
      </c>
      <c r="B87" s="105">
        <f>SUM(B85:B86)</f>
        <v>33919.580685290159</v>
      </c>
      <c r="C87" s="196">
        <f>SUM(C85:C86)</f>
        <v>8301.6213475555724</v>
      </c>
      <c r="D87" s="83">
        <f>IF(ISERROR(C87/B87),"n/a",C87/B87)</f>
        <v>0.24474422088465619</v>
      </c>
      <c r="E87" s="41"/>
      <c r="F87" s="54"/>
      <c r="G87" s="48"/>
      <c r="H87" s="42">
        <f>SUM(H85:H86)</f>
        <v>13800.87257808327</v>
      </c>
      <c r="I87" s="83">
        <f>H87/B87</f>
        <v>0.40687037691088762</v>
      </c>
      <c r="J87" s="11"/>
    </row>
    <row r="88" spans="1:10" hidden="1" x14ac:dyDescent="0.25">
      <c r="A88" s="343"/>
      <c r="B88" s="105"/>
      <c r="C88" s="196"/>
      <c r="D88" s="83"/>
      <c r="E88" s="41"/>
      <c r="F88" s="54"/>
      <c r="G88" s="48"/>
      <c r="H88" s="42"/>
      <c r="I88" s="83"/>
      <c r="J88" s="11"/>
    </row>
    <row r="89" spans="1:10" hidden="1" x14ac:dyDescent="0.25">
      <c r="A89" s="344"/>
      <c r="B89" s="105"/>
      <c r="C89" s="196"/>
      <c r="D89" s="83"/>
      <c r="E89" s="41"/>
      <c r="F89" s="54"/>
      <c r="G89" s="48"/>
      <c r="H89" s="42"/>
      <c r="I89" s="83"/>
      <c r="J89" s="11"/>
    </row>
    <row r="90" spans="1:10" hidden="1" x14ac:dyDescent="0.25">
      <c r="A90" s="27"/>
      <c r="B90" s="547" t="s">
        <v>193</v>
      </c>
      <c r="C90" s="32">
        <f>SUM(C7,C12,C17,C23,C28,C33,C43,C48,C54,C59)</f>
        <v>0</v>
      </c>
      <c r="D90" s="31">
        <v>0</v>
      </c>
      <c r="E90" s="132"/>
      <c r="F90" s="128">
        <f>C90-D90</f>
        <v>0</v>
      </c>
      <c r="G90" s="78"/>
      <c r="H90" s="64"/>
      <c r="I90" s="64"/>
      <c r="J90" s="11"/>
    </row>
    <row r="91" spans="1:10" hidden="1" x14ac:dyDescent="0.25">
      <c r="A91" s="140"/>
      <c r="B91" s="547" t="s">
        <v>194</v>
      </c>
      <c r="C91" s="32">
        <f>SUM(C8,C13,C18,C24,C29,C34,C44,C49,C55,C60)</f>
        <v>33119.315001256153</v>
      </c>
      <c r="D91" s="31">
        <v>33119.315001256153</v>
      </c>
      <c r="E91" s="130"/>
      <c r="F91" s="128">
        <f>C91-D91</f>
        <v>0</v>
      </c>
      <c r="G91" s="78"/>
      <c r="H91" s="64"/>
      <c r="I91" s="64"/>
      <c r="J91" s="11"/>
    </row>
    <row r="92" spans="1:10" hidden="1" x14ac:dyDescent="0.25">
      <c r="A92" s="140"/>
      <c r="B92" s="547" t="s">
        <v>195</v>
      </c>
      <c r="C92" s="32">
        <f>SUM(C90:C91)</f>
        <v>33119.315001256153</v>
      </c>
      <c r="D92" s="32">
        <f>SUM(D90:D91)</f>
        <v>33119.315001256153</v>
      </c>
      <c r="E92" s="137"/>
      <c r="F92" s="128">
        <f>C92-D92</f>
        <v>0</v>
      </c>
      <c r="G92" s="78"/>
      <c r="H92" s="64"/>
      <c r="I92" s="64"/>
      <c r="J92" s="11"/>
    </row>
    <row r="93" spans="1:10" hidden="1" x14ac:dyDescent="0.25">
      <c r="A93" s="140"/>
      <c r="B93" s="548" t="s">
        <v>196</v>
      </c>
      <c r="C93" s="31">
        <f>C43+C48+C54+C59</f>
        <v>0</v>
      </c>
      <c r="D93" s="31">
        <v>0</v>
      </c>
      <c r="E93" s="130"/>
      <c r="F93" s="128">
        <f>C93-D93</f>
        <v>0</v>
      </c>
      <c r="G93" s="78"/>
      <c r="H93" s="64"/>
      <c r="I93" s="64"/>
      <c r="J93" s="11"/>
    </row>
    <row r="94" spans="1:10" hidden="1" x14ac:dyDescent="0.25">
      <c r="A94" s="140"/>
      <c r="B94" s="548" t="s">
        <v>197</v>
      </c>
      <c r="C94" s="31">
        <f>C44+C49+C55+C60</f>
        <v>1094.7125179417615</v>
      </c>
      <c r="D94" s="31">
        <v>1094.7125179417615</v>
      </c>
      <c r="E94" s="130"/>
      <c r="F94" s="128">
        <f>C94-D94</f>
        <v>0</v>
      </c>
      <c r="G94" s="78"/>
      <c r="H94" s="64"/>
      <c r="I94" s="64"/>
      <c r="J94" s="11"/>
    </row>
    <row r="95" spans="1:10" hidden="1" x14ac:dyDescent="0.25">
      <c r="A95" s="11"/>
      <c r="C95" s="64"/>
      <c r="D95" s="64"/>
      <c r="E95" s="64"/>
      <c r="F95" s="78"/>
      <c r="G95" s="78"/>
      <c r="H95" s="64"/>
      <c r="I95" s="64"/>
      <c r="J95" s="11"/>
    </row>
    <row r="96" spans="1:10" hidden="1" x14ac:dyDescent="0.25">
      <c r="A96" s="11"/>
      <c r="C96" s="64"/>
      <c r="D96" s="64"/>
      <c r="E96" s="64"/>
      <c r="F96" s="78"/>
      <c r="G96" s="78"/>
      <c r="H96" s="64"/>
      <c r="I96" s="64"/>
      <c r="J96" s="11"/>
    </row>
    <row r="97" spans="1:10" hidden="1" x14ac:dyDescent="0.25">
      <c r="A97" s="347" t="s">
        <v>198</v>
      </c>
      <c r="B97" s="133">
        <v>0</v>
      </c>
      <c r="C97" s="136" t="s">
        <v>199</v>
      </c>
      <c r="D97" s="64"/>
      <c r="E97" s="64"/>
      <c r="F97" s="78"/>
      <c r="G97" s="78"/>
      <c r="H97" s="64"/>
      <c r="I97" s="64"/>
      <c r="J97" s="11"/>
    </row>
    <row r="98" spans="1:10" hidden="1" x14ac:dyDescent="0.25">
      <c r="A98" s="347" t="s">
        <v>200</v>
      </c>
      <c r="B98" s="133">
        <v>0</v>
      </c>
      <c r="C98" s="64" t="s">
        <v>201</v>
      </c>
      <c r="D98" s="64"/>
      <c r="E98" s="64"/>
      <c r="F98" s="78"/>
      <c r="G98" s="78"/>
      <c r="H98" s="64"/>
      <c r="I98" s="64"/>
      <c r="J98" s="11"/>
    </row>
    <row r="99" spans="1:10" hidden="1" x14ac:dyDescent="0.25">
      <c r="A99" s="347" t="s">
        <v>202</v>
      </c>
      <c r="B99" s="133">
        <v>0</v>
      </c>
      <c r="C99" s="64"/>
      <c r="D99" s="64"/>
      <c r="E99" s="64"/>
      <c r="F99" s="78"/>
      <c r="G99" s="78"/>
      <c r="H99" s="64"/>
      <c r="I99" s="64"/>
      <c r="J99" s="11"/>
    </row>
    <row r="100" spans="1:10" hidden="1" x14ac:dyDescent="0.25">
      <c r="A100" s="347" t="s">
        <v>203</v>
      </c>
      <c r="B100" s="133">
        <v>0</v>
      </c>
      <c r="C100" s="136" t="s">
        <v>204</v>
      </c>
      <c r="D100" s="64"/>
      <c r="E100" s="64"/>
      <c r="F100" s="78"/>
      <c r="G100" s="78"/>
      <c r="H100" s="64"/>
      <c r="I100" s="64"/>
      <c r="J100" s="11"/>
    </row>
    <row r="101" spans="1:10" hidden="1" x14ac:dyDescent="0.25">
      <c r="A101" s="347" t="s">
        <v>205</v>
      </c>
      <c r="B101" s="133">
        <v>0</v>
      </c>
      <c r="C101" s="64"/>
      <c r="D101" s="64"/>
      <c r="E101" s="64"/>
      <c r="F101" s="78"/>
      <c r="G101" s="78"/>
      <c r="H101" s="64"/>
      <c r="I101" s="64"/>
      <c r="J101" s="11"/>
    </row>
    <row r="102" spans="1:10" hidden="1" x14ac:dyDescent="0.25">
      <c r="A102" s="11"/>
      <c r="C102" s="64"/>
      <c r="D102" s="64"/>
      <c r="E102" s="64"/>
      <c r="F102" s="78"/>
      <c r="G102" s="78"/>
      <c r="H102" s="64"/>
      <c r="I102" s="64"/>
      <c r="J102" s="11"/>
    </row>
    <row r="103" spans="1:10" hidden="1" x14ac:dyDescent="0.25">
      <c r="A103" s="140"/>
      <c r="B103" s="548" t="s">
        <v>231</v>
      </c>
      <c r="C103" s="32"/>
      <c r="D103" s="32"/>
      <c r="E103" s="64"/>
      <c r="F103" s="128">
        <f>C103-D103</f>
        <v>0</v>
      </c>
      <c r="G103" s="78"/>
      <c r="H103" s="242"/>
      <c r="I103" s="64"/>
      <c r="J103" s="11"/>
    </row>
    <row r="104" spans="1:10" hidden="1" x14ac:dyDescent="0.25">
      <c r="A104" s="140"/>
      <c r="B104" s="548" t="s">
        <v>232</v>
      </c>
      <c r="C104" s="32">
        <f>C24+C29+C34</f>
        <v>15016.596083641996</v>
      </c>
      <c r="D104" s="32">
        <v>15016.596083641996</v>
      </c>
      <c r="E104" s="64"/>
      <c r="F104" s="128">
        <f>C104-D104</f>
        <v>0</v>
      </c>
      <c r="G104" s="78"/>
      <c r="H104" s="242"/>
      <c r="I104" s="64"/>
      <c r="J104" s="11"/>
    </row>
    <row r="105" spans="1:10" hidden="1" x14ac:dyDescent="0.25">
      <c r="A105" s="140"/>
      <c r="B105" s="548"/>
      <c r="C105" s="32"/>
      <c r="D105" s="32"/>
      <c r="E105" s="64"/>
      <c r="F105" s="128"/>
      <c r="G105" s="78"/>
      <c r="H105" s="242"/>
      <c r="I105" s="64"/>
      <c r="J105" s="11"/>
    </row>
    <row r="106" spans="1:10" hidden="1" x14ac:dyDescent="0.25">
      <c r="A106" s="140"/>
      <c r="B106" s="347" t="s">
        <v>293</v>
      </c>
      <c r="C106" s="32">
        <f>C69+C80</f>
        <v>0</v>
      </c>
      <c r="D106" s="32">
        <v>0</v>
      </c>
      <c r="E106" s="64"/>
      <c r="F106" s="128">
        <f>C106-D106</f>
        <v>0</v>
      </c>
      <c r="G106" s="78"/>
      <c r="H106" s="242"/>
      <c r="I106" s="64"/>
      <c r="J106" s="11"/>
    </row>
    <row r="107" spans="1:10" hidden="1" x14ac:dyDescent="0.25">
      <c r="A107" s="140"/>
      <c r="B107" s="347" t="s">
        <v>294</v>
      </c>
      <c r="C107" s="32">
        <f>C70+C81</f>
        <v>2051.8201586846849</v>
      </c>
      <c r="D107" s="32">
        <v>2051.8201586846849</v>
      </c>
      <c r="E107" s="64"/>
      <c r="F107" s="128">
        <f>C107-D107</f>
        <v>0</v>
      </c>
      <c r="G107" s="78"/>
      <c r="H107" s="242"/>
      <c r="I107" s="64"/>
      <c r="J107" s="11"/>
    </row>
    <row r="108" spans="1:10" hidden="1" x14ac:dyDescent="0.25">
      <c r="A108" s="140"/>
      <c r="B108" s="347" t="s">
        <v>295</v>
      </c>
      <c r="C108" s="32">
        <f>C74+C85</f>
        <v>0</v>
      </c>
      <c r="D108" s="32">
        <v>0</v>
      </c>
      <c r="E108" s="64"/>
      <c r="F108" s="128">
        <f>C108-D108</f>
        <v>0</v>
      </c>
      <c r="G108" s="78"/>
      <c r="H108" s="242"/>
      <c r="I108" s="64"/>
      <c r="J108" s="11"/>
    </row>
    <row r="109" spans="1:10" hidden="1" x14ac:dyDescent="0.25">
      <c r="A109" s="140"/>
      <c r="B109" s="347" t="s">
        <v>296</v>
      </c>
      <c r="C109" s="32">
        <f>C75+C86</f>
        <v>8754.615995841923</v>
      </c>
      <c r="D109" s="32">
        <v>8754.615995841923</v>
      </c>
      <c r="E109" s="64"/>
      <c r="F109" s="128">
        <f>C109-D109</f>
        <v>0</v>
      </c>
      <c r="G109" s="78"/>
      <c r="H109" s="242"/>
      <c r="I109" s="64"/>
      <c r="J109" s="11"/>
    </row>
    <row r="110" spans="1:10" hidden="1" x14ac:dyDescent="0.25">
      <c r="A110" s="140"/>
      <c r="B110" s="347"/>
      <c r="C110" s="32"/>
      <c r="D110" s="32"/>
      <c r="E110" s="348"/>
      <c r="F110" s="349"/>
      <c r="G110" s="78"/>
      <c r="H110" s="242"/>
      <c r="I110" s="64"/>
      <c r="J110" s="11"/>
    </row>
    <row r="111" spans="1:10" hidden="1" x14ac:dyDescent="0.25">
      <c r="A111" s="145" t="s">
        <v>297</v>
      </c>
      <c r="B111" s="133">
        <v>0</v>
      </c>
      <c r="C111" s="32"/>
      <c r="D111" s="32"/>
      <c r="E111" s="64"/>
      <c r="F111" s="349"/>
      <c r="G111" s="78"/>
      <c r="H111" s="242"/>
      <c r="I111" s="64"/>
      <c r="J111" s="11"/>
    </row>
    <row r="112" spans="1:10" hidden="1" x14ac:dyDescent="0.25">
      <c r="A112" s="145" t="s">
        <v>298</v>
      </c>
      <c r="B112" s="133">
        <v>0</v>
      </c>
      <c r="C112" s="32"/>
      <c r="D112" s="32"/>
      <c r="E112" s="64"/>
      <c r="F112" s="349"/>
      <c r="G112" s="78"/>
      <c r="H112" s="242"/>
      <c r="I112" s="64"/>
      <c r="J112" s="11"/>
    </row>
    <row r="113" spans="1:10" hidden="1" x14ac:dyDescent="0.25">
      <c r="A113" s="145" t="s">
        <v>299</v>
      </c>
      <c r="B113" s="133">
        <v>0</v>
      </c>
      <c r="C113" s="32"/>
      <c r="D113" s="32"/>
      <c r="E113" s="64"/>
      <c r="F113" s="349"/>
      <c r="G113" s="78"/>
      <c r="H113" s="242"/>
      <c r="I113" s="64"/>
      <c r="J113" s="11"/>
    </row>
    <row r="114" spans="1:10" hidden="1" x14ac:dyDescent="0.25">
      <c r="A114" s="145" t="s">
        <v>300</v>
      </c>
      <c r="B114" s="133">
        <v>0</v>
      </c>
      <c r="C114" s="32"/>
      <c r="D114" s="32"/>
      <c r="E114" s="64"/>
      <c r="F114" s="349"/>
      <c r="G114" s="78"/>
      <c r="H114" s="242"/>
      <c r="I114" s="64"/>
      <c r="J114" s="11"/>
    </row>
    <row r="115" spans="1:10" x14ac:dyDescent="0.25">
      <c r="A115" s="141"/>
      <c r="B115" s="283"/>
      <c r="C115" s="293"/>
      <c r="D115" s="293"/>
      <c r="E115" s="293"/>
      <c r="F115" s="78"/>
      <c r="G115" s="78"/>
      <c r="H115" s="64"/>
      <c r="I115" s="64"/>
      <c r="J115" s="11"/>
    </row>
    <row r="116" spans="1:10" x14ac:dyDescent="0.25">
      <c r="A116" s="11" t="s">
        <v>235</v>
      </c>
      <c r="C116" s="64"/>
      <c r="D116" s="64"/>
      <c r="E116" s="64"/>
      <c r="F116" s="78"/>
      <c r="G116" s="78"/>
      <c r="H116" s="64"/>
      <c r="I116" s="64"/>
      <c r="J116" s="11"/>
    </row>
    <row r="117" spans="1:10" x14ac:dyDescent="0.25">
      <c r="A117" s="25" t="s">
        <v>802</v>
      </c>
      <c r="C117" s="64"/>
      <c r="D117" s="64"/>
      <c r="E117" s="64"/>
      <c r="F117" s="78"/>
      <c r="G117" s="78"/>
      <c r="H117" s="64"/>
      <c r="I117" s="64"/>
      <c r="J117" s="11"/>
    </row>
    <row r="118" spans="1:10" x14ac:dyDescent="0.25">
      <c r="A118" s="25" t="s">
        <v>795</v>
      </c>
      <c r="C118" s="64"/>
      <c r="D118" s="64"/>
      <c r="E118" s="64"/>
      <c r="F118" s="78"/>
      <c r="G118" s="78"/>
      <c r="H118" s="64"/>
      <c r="I118" s="64"/>
      <c r="J118" s="11"/>
    </row>
    <row r="119" spans="1:10" x14ac:dyDescent="0.25">
      <c r="A119" s="11"/>
      <c r="C119" s="64"/>
      <c r="D119" s="64"/>
      <c r="E119" s="64"/>
      <c r="F119" s="78"/>
      <c r="G119" s="78"/>
      <c r="H119" s="64"/>
      <c r="I119" s="64"/>
      <c r="J119" s="11"/>
    </row>
    <row r="120" spans="1:10" x14ac:dyDescent="0.25">
      <c r="A120" s="11"/>
      <c r="C120" s="64"/>
      <c r="D120" s="64"/>
      <c r="E120" s="64"/>
      <c r="F120" s="78"/>
      <c r="G120" s="78"/>
      <c r="H120" s="64"/>
      <c r="I120" s="64"/>
      <c r="J120" s="11"/>
    </row>
    <row r="121" spans="1:10" x14ac:dyDescent="0.25">
      <c r="A121" s="11"/>
      <c r="C121" s="64"/>
      <c r="D121" s="64"/>
      <c r="E121" s="64"/>
      <c r="F121" s="78"/>
      <c r="G121" s="78"/>
      <c r="H121" s="64"/>
      <c r="I121" s="64"/>
      <c r="J121" s="11"/>
    </row>
    <row r="122" spans="1:10" x14ac:dyDescent="0.25">
      <c r="A122" s="11"/>
      <c r="C122" s="64"/>
      <c r="D122" s="64"/>
      <c r="E122" s="64"/>
      <c r="F122" s="78"/>
      <c r="G122" s="78"/>
      <c r="H122" s="64"/>
      <c r="I122" s="64"/>
      <c r="J122" s="11"/>
    </row>
    <row r="123" spans="1:10" x14ac:dyDescent="0.25">
      <c r="A123" s="11"/>
      <c r="C123" s="64"/>
      <c r="D123" s="64"/>
      <c r="E123" s="64"/>
      <c r="F123" s="78"/>
      <c r="G123" s="78"/>
      <c r="H123" s="64"/>
      <c r="I123" s="64"/>
      <c r="J123" s="11"/>
    </row>
    <row r="124" spans="1:10" x14ac:dyDescent="0.25">
      <c r="A124" s="11"/>
      <c r="C124" s="64"/>
      <c r="D124" s="64"/>
      <c r="E124" s="64"/>
      <c r="F124" s="78"/>
      <c r="G124" s="78"/>
      <c r="H124" s="64"/>
      <c r="I124" s="64"/>
      <c r="J124" s="11"/>
    </row>
    <row r="125" spans="1:10" x14ac:dyDescent="0.25">
      <c r="A125" s="11"/>
      <c r="C125" s="64"/>
      <c r="D125" s="64"/>
      <c r="E125" s="64"/>
      <c r="F125" s="78"/>
      <c r="G125" s="78"/>
      <c r="H125" s="64"/>
      <c r="I125" s="64"/>
      <c r="J125" s="11"/>
    </row>
  </sheetData>
  <phoneticPr fontId="5" type="noConversion"/>
  <printOptions horizontalCentered="1"/>
  <pageMargins left="0.75" right="0.75" top="1" bottom="1" header="0.5" footer="0.5"/>
  <pageSetup fitToHeight="3" orientation="landscape" r:id="rId1"/>
  <headerFooter alignWithMargins="0">
    <oddFooter>&amp;L&amp;F</oddFooter>
  </headerFooter>
  <rowBreaks count="2" manualBreakCount="2">
    <brk id="36" max="16383" man="1"/>
    <brk id="6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P125"/>
  <sheetViews>
    <sheetView zoomScale="70" zoomScaleNormal="70" workbookViewId="0"/>
  </sheetViews>
  <sheetFormatPr defaultRowHeight="13.2" x14ac:dyDescent="0.25"/>
  <cols>
    <col min="1" max="1" width="29.44140625" customWidth="1"/>
    <col min="2" max="4" width="11.6640625" customWidth="1"/>
    <col min="5" max="5" width="2.6640625" customWidth="1"/>
    <col min="6" max="6" width="11.6640625" customWidth="1"/>
    <col min="7" max="7" width="2.6640625" customWidth="1"/>
    <col min="8" max="9" width="11.6640625" customWidth="1"/>
    <col min="11" max="11" width="9.33203125" bestFit="1" customWidth="1"/>
  </cols>
  <sheetData>
    <row r="1" spans="1:16" ht="15.75" customHeight="1" x14ac:dyDescent="0.3">
      <c r="A1" s="158" t="s">
        <v>561</v>
      </c>
    </row>
    <row r="2" spans="1:16" ht="15.75" customHeight="1" x14ac:dyDescent="0.3">
      <c r="A2" s="158" t="s">
        <v>787</v>
      </c>
    </row>
    <row r="3" spans="1:16" ht="26.4" x14ac:dyDescent="0.25">
      <c r="B3" s="168" t="s">
        <v>250</v>
      </c>
      <c r="C3" s="189" t="s">
        <v>249</v>
      </c>
      <c r="D3" s="8" t="s">
        <v>104</v>
      </c>
      <c r="E3" s="8"/>
      <c r="F3" s="199" t="s">
        <v>246</v>
      </c>
      <c r="G3" s="87"/>
      <c r="H3" s="160" t="s">
        <v>218</v>
      </c>
      <c r="I3" s="41" t="s">
        <v>133</v>
      </c>
      <c r="J3" s="11"/>
    </row>
    <row r="4" spans="1:16" x14ac:dyDescent="0.25">
      <c r="A4" s="15" t="s">
        <v>291</v>
      </c>
      <c r="B4" s="168"/>
      <c r="C4" s="189"/>
      <c r="D4" s="8"/>
      <c r="E4" s="8"/>
      <c r="F4" s="199"/>
      <c r="G4" s="87"/>
      <c r="H4" s="160"/>
      <c r="I4" s="41"/>
      <c r="J4" s="11"/>
    </row>
    <row r="5" spans="1:16" ht="12.75" customHeight="1" x14ac:dyDescent="0.25">
      <c r="A5" s="89" t="s">
        <v>174</v>
      </c>
      <c r="B5" s="168"/>
      <c r="C5" s="189"/>
      <c r="D5" s="8"/>
      <c r="E5" s="8"/>
      <c r="F5" s="87"/>
      <c r="G5" s="87"/>
      <c r="H5" s="160"/>
      <c r="I5" s="41"/>
      <c r="J5" s="11"/>
    </row>
    <row r="6" spans="1:16" x14ac:dyDescent="0.25">
      <c r="A6" s="81" t="s">
        <v>278</v>
      </c>
      <c r="C6" s="52"/>
      <c r="D6" s="3"/>
      <c r="E6" s="3"/>
      <c r="F6" s="74"/>
      <c r="G6" s="74"/>
      <c r="H6" s="3"/>
      <c r="I6" s="3"/>
      <c r="J6" s="11"/>
    </row>
    <row r="7" spans="1:16" x14ac:dyDescent="0.25">
      <c r="A7" s="344" t="s">
        <v>130</v>
      </c>
      <c r="B7" s="105">
        <v>0</v>
      </c>
      <c r="C7" s="196">
        <v>0</v>
      </c>
      <c r="D7" s="83" t="str">
        <f>IF(ISERROR(C7/B7),"n/a",C7/B7)</f>
        <v>n/a</v>
      </c>
      <c r="E7" s="41"/>
      <c r="F7" s="54">
        <v>1.6624309879114112</v>
      </c>
      <c r="G7" s="75"/>
      <c r="H7" s="42">
        <f>C7*F7</f>
        <v>0</v>
      </c>
      <c r="I7" s="83" t="str">
        <f>IF(ISERROR(H7/B7),"n/a",H7/B7)</f>
        <v>n/a</v>
      </c>
      <c r="J7" s="11"/>
      <c r="K7" s="345"/>
      <c r="L7" s="27"/>
      <c r="M7" s="27"/>
      <c r="N7" s="27"/>
      <c r="O7" s="27"/>
      <c r="P7" s="27"/>
    </row>
    <row r="8" spans="1:16" x14ac:dyDescent="0.25">
      <c r="A8" s="343" t="s">
        <v>292</v>
      </c>
      <c r="B8" s="105">
        <v>32082.84861362063</v>
      </c>
      <c r="C8" s="196">
        <v>5319.6702656755924</v>
      </c>
      <c r="D8" s="83">
        <f>IF(ISERROR(C8/B8),"n/a",C8/B8)</f>
        <v>0.16581040947271591</v>
      </c>
      <c r="E8" s="41"/>
      <c r="F8" s="54">
        <v>1.6624309879114112</v>
      </c>
      <c r="G8" s="75"/>
      <c r="H8" s="42">
        <f>C8*F8</f>
        <v>8843.5846951300337</v>
      </c>
      <c r="I8" s="83">
        <f>IF(ISERROR(H8/B8),"n/a",H8/B8)</f>
        <v>0.27564836282572269</v>
      </c>
      <c r="J8" s="11"/>
      <c r="K8" s="27"/>
      <c r="L8" s="27"/>
      <c r="M8" s="27"/>
      <c r="N8" s="27"/>
      <c r="O8" s="27"/>
      <c r="P8" s="27"/>
    </row>
    <row r="9" spans="1:16" x14ac:dyDescent="0.25">
      <c r="A9" s="344" t="s">
        <v>102</v>
      </c>
      <c r="B9" s="105">
        <f>SUM(B7:B8)</f>
        <v>32082.84861362063</v>
      </c>
      <c r="C9" s="175">
        <f>SUM(C7:C8)</f>
        <v>5319.6702656755924</v>
      </c>
      <c r="D9" s="83">
        <f>IF(ISERROR(C9/B9),"n/a",C9/B9)</f>
        <v>0.16581040947271591</v>
      </c>
      <c r="E9" s="41"/>
      <c r="F9" s="54"/>
      <c r="G9" s="48"/>
      <c r="H9" s="42">
        <f>SUM(H7:H8)</f>
        <v>8843.5846951300337</v>
      </c>
      <c r="I9" s="83">
        <f>H9/B9</f>
        <v>0.27564836282572269</v>
      </c>
      <c r="J9" s="11"/>
      <c r="K9" s="27"/>
      <c r="L9" s="27"/>
      <c r="M9" s="27"/>
      <c r="N9" s="27"/>
      <c r="O9" s="27"/>
      <c r="P9" s="27"/>
    </row>
    <row r="10" spans="1:16" ht="5.0999999999999996" customHeight="1" x14ac:dyDescent="0.25">
      <c r="A10" s="82"/>
      <c r="B10" s="105"/>
      <c r="C10" s="175"/>
      <c r="D10" s="83"/>
      <c r="E10" s="41"/>
      <c r="F10" s="54"/>
      <c r="G10" s="48"/>
      <c r="H10" s="42"/>
      <c r="I10" s="83"/>
      <c r="J10" s="11"/>
    </row>
    <row r="11" spans="1:16" x14ac:dyDescent="0.25">
      <c r="A11" s="81" t="s">
        <v>274</v>
      </c>
      <c r="B11" s="14"/>
      <c r="C11" s="196"/>
      <c r="D11" s="83"/>
      <c r="E11" s="41"/>
      <c r="F11" s="75"/>
      <c r="G11" s="75"/>
      <c r="H11" s="42"/>
      <c r="I11" s="83"/>
      <c r="J11" s="11"/>
    </row>
    <row r="12" spans="1:16" x14ac:dyDescent="0.25">
      <c r="A12" s="344" t="s">
        <v>130</v>
      </c>
      <c r="B12" s="105">
        <v>0</v>
      </c>
      <c r="C12" s="196">
        <v>0</v>
      </c>
      <c r="D12" s="83" t="str">
        <f>IF(ISERROR(C12/B12),"n/a",C12/B12)</f>
        <v>n/a</v>
      </c>
      <c r="E12" s="41"/>
      <c r="F12" s="54">
        <v>1.6624309879114112</v>
      </c>
      <c r="G12" s="48"/>
      <c r="H12" s="42">
        <f>C12*F12</f>
        <v>0</v>
      </c>
      <c r="I12" s="83" t="str">
        <f>IF(ISERROR(H12/B12),"n/a",H12/B12)</f>
        <v>n/a</v>
      </c>
      <c r="J12" s="11"/>
    </row>
    <row r="13" spans="1:16" x14ac:dyDescent="0.25">
      <c r="A13" s="343" t="s">
        <v>292</v>
      </c>
      <c r="B13" s="105">
        <v>11632.508804273199</v>
      </c>
      <c r="C13" s="196">
        <v>1928.791048031512</v>
      </c>
      <c r="D13" s="83">
        <f>IF(ISERROR(C13/B13),"n/a",C13/B13)</f>
        <v>0.16581040947271591</v>
      </c>
      <c r="E13" s="41"/>
      <c r="F13" s="54">
        <v>1.6624309879114112</v>
      </c>
      <c r="G13" s="48"/>
      <c r="H13" s="42">
        <f>C13*F13</f>
        <v>3206.4820074537129</v>
      </c>
      <c r="I13" s="83">
        <f>IF(ISERROR(H13/B13),"n/a",H13/B13)</f>
        <v>0.27564836282572275</v>
      </c>
      <c r="J13" s="11"/>
    </row>
    <row r="14" spans="1:16" x14ac:dyDescent="0.25">
      <c r="A14" s="344" t="s">
        <v>102</v>
      </c>
      <c r="B14" s="105">
        <f>SUM(B12:B13)</f>
        <v>11632.508804273199</v>
      </c>
      <c r="C14" s="175">
        <f>SUM(C12:C13)</f>
        <v>1928.791048031512</v>
      </c>
      <c r="D14" s="83">
        <f>IF(ISERROR(C14/B14),"n/a",C14/B14)</f>
        <v>0.16581040947271591</v>
      </c>
      <c r="E14" s="41"/>
      <c r="F14" s="54"/>
      <c r="G14" s="48"/>
      <c r="H14" s="42">
        <f>SUM(H12:H13)</f>
        <v>3206.4820074537129</v>
      </c>
      <c r="I14" s="83">
        <f>H14/B14</f>
        <v>0.27564836282572275</v>
      </c>
      <c r="J14" s="11"/>
    </row>
    <row r="15" spans="1:16" ht="5.0999999999999996" customHeight="1" x14ac:dyDescent="0.25">
      <c r="A15" s="82"/>
      <c r="B15" s="105"/>
      <c r="C15" s="175"/>
      <c r="D15" s="83"/>
      <c r="E15" s="41"/>
      <c r="F15" s="54"/>
      <c r="G15" s="48"/>
      <c r="H15" s="42"/>
      <c r="I15" s="83"/>
      <c r="J15" s="11"/>
    </row>
    <row r="16" spans="1:16" x14ac:dyDescent="0.25">
      <c r="A16" s="81" t="s">
        <v>279</v>
      </c>
      <c r="B16" s="105"/>
      <c r="C16" s="196"/>
      <c r="D16" s="92"/>
      <c r="E16" s="92"/>
      <c r="F16" s="54"/>
      <c r="G16" s="54"/>
      <c r="H16" s="46"/>
      <c r="I16" s="85"/>
      <c r="J16" s="11"/>
    </row>
    <row r="17" spans="1:10" x14ac:dyDescent="0.25">
      <c r="A17" s="344" t="s">
        <v>130</v>
      </c>
      <c r="B17" s="105">
        <v>0</v>
      </c>
      <c r="C17" s="196">
        <v>0</v>
      </c>
      <c r="D17" s="83" t="str">
        <f>IF(ISERROR(C17/B17),"n/a",C17/B17)</f>
        <v>n/a</v>
      </c>
      <c r="E17" s="41"/>
      <c r="F17" s="54">
        <v>1.6624309879114112</v>
      </c>
      <c r="G17" s="54"/>
      <c r="H17" s="42">
        <f>C17*F17</f>
        <v>0</v>
      </c>
      <c r="I17" s="83" t="str">
        <f>IF(ISERROR(H17/B17),"n/a",H17/B17)</f>
        <v>n/a</v>
      </c>
      <c r="J17" s="11"/>
    </row>
    <row r="18" spans="1:10" x14ac:dyDescent="0.25">
      <c r="A18" s="343" t="s">
        <v>292</v>
      </c>
      <c r="B18" s="105">
        <v>2751.6650079507654</v>
      </c>
      <c r="C18" s="196">
        <v>456.25470170006042</v>
      </c>
      <c r="D18" s="83">
        <f>IF(ISERROR(C18/B18),"n/a",C18/B18)</f>
        <v>0.16581040947271589</v>
      </c>
      <c r="E18" s="41"/>
      <c r="F18" s="54">
        <v>1.6624309879114112</v>
      </c>
      <c r="G18" s="54"/>
      <c r="H18" s="42">
        <f>C18*F18</f>
        <v>758.49195448645764</v>
      </c>
      <c r="I18" s="83">
        <f>IF(ISERROR(H18/B18),"n/a",H18/B18)</f>
        <v>0.27564836282572269</v>
      </c>
      <c r="J18" s="11"/>
    </row>
    <row r="19" spans="1:10" x14ac:dyDescent="0.25">
      <c r="A19" s="344" t="s">
        <v>102</v>
      </c>
      <c r="B19" s="105">
        <f>SUM(B17:B18)</f>
        <v>2751.6650079507654</v>
      </c>
      <c r="C19" s="175">
        <f>SUM(C17:C18)</f>
        <v>456.25470170006042</v>
      </c>
      <c r="D19" s="83">
        <f>IF(ISERROR(C19/B19),"n/a",C19/B19)</f>
        <v>0.16581040947271589</v>
      </c>
      <c r="E19" s="41"/>
      <c r="F19" s="54"/>
      <c r="G19" s="48"/>
      <c r="H19" s="42">
        <f>SUM(H17:H18)</f>
        <v>758.49195448645764</v>
      </c>
      <c r="I19" s="83">
        <f>H19/B19</f>
        <v>0.27564836282572269</v>
      </c>
      <c r="J19" s="11"/>
    </row>
    <row r="20" spans="1:10" x14ac:dyDescent="0.25">
      <c r="A20" s="11"/>
      <c r="B20" s="105"/>
      <c r="C20" s="175"/>
      <c r="D20" s="83"/>
      <c r="E20" s="41"/>
      <c r="F20" s="54"/>
      <c r="G20" s="48"/>
      <c r="H20" s="42"/>
      <c r="I20" s="83"/>
      <c r="J20" s="11"/>
    </row>
    <row r="21" spans="1:10" x14ac:dyDescent="0.25">
      <c r="A21" s="89" t="s">
        <v>175</v>
      </c>
      <c r="B21" s="14"/>
      <c r="C21" s="196"/>
      <c r="D21" s="85"/>
      <c r="E21" s="45"/>
      <c r="F21" s="76"/>
      <c r="G21" s="76"/>
      <c r="H21" s="46"/>
      <c r="I21" s="85"/>
      <c r="J21" s="11"/>
    </row>
    <row r="22" spans="1:10" x14ac:dyDescent="0.25">
      <c r="A22" s="81" t="s">
        <v>278</v>
      </c>
      <c r="B22" s="48"/>
      <c r="C22" s="196"/>
      <c r="D22" s="92"/>
      <c r="E22" s="48"/>
      <c r="F22" s="48"/>
      <c r="G22" s="48"/>
      <c r="H22" s="196"/>
      <c r="I22" s="92"/>
      <c r="J22" s="11"/>
    </row>
    <row r="23" spans="1:10" x14ac:dyDescent="0.25">
      <c r="A23" s="344" t="s">
        <v>130</v>
      </c>
      <c r="B23" s="105">
        <v>0</v>
      </c>
      <c r="C23" s="196">
        <f>D23*B23</f>
        <v>0</v>
      </c>
      <c r="D23" s="83">
        <v>0</v>
      </c>
      <c r="E23" s="41"/>
      <c r="F23" s="54">
        <v>1.6624309879114112</v>
      </c>
      <c r="G23" s="48"/>
      <c r="H23" s="42">
        <f>C23*F23</f>
        <v>0</v>
      </c>
      <c r="I23" s="83" t="str">
        <f>IF(ISERROR(H23/B23),"n/a",H23/B23)</f>
        <v>n/a</v>
      </c>
      <c r="J23" s="11"/>
    </row>
    <row r="24" spans="1:10" x14ac:dyDescent="0.25">
      <c r="A24" s="343" t="s">
        <v>292</v>
      </c>
      <c r="B24" s="105">
        <v>1400.8502941625889</v>
      </c>
      <c r="C24" s="196">
        <f>D24*B24</f>
        <v>427.1345220666484</v>
      </c>
      <c r="D24" s="83">
        <v>0.30491089864958354</v>
      </c>
      <c r="E24" s="41"/>
      <c r="F24" s="54">
        <v>1.6624309879114112</v>
      </c>
      <c r="G24" s="48"/>
      <c r="H24" s="42">
        <f>C24*F24</f>
        <v>710.08166549032671</v>
      </c>
      <c r="I24" s="83">
        <f>IF(ISERROR(H24/B24),"n/a",H24/B24)</f>
        <v>0.50689332646698326</v>
      </c>
      <c r="J24" s="11"/>
    </row>
    <row r="25" spans="1:10" x14ac:dyDescent="0.25">
      <c r="A25" s="344" t="s">
        <v>102</v>
      </c>
      <c r="B25" s="105">
        <f>SUM(B23:B24)</f>
        <v>1400.8502941625889</v>
      </c>
      <c r="C25" s="175">
        <f>SUM(C23:C24)</f>
        <v>427.1345220666484</v>
      </c>
      <c r="D25" s="83">
        <f>IF(ISERROR(C25/B25),"n/a",C25/B25)</f>
        <v>0.30491089864958354</v>
      </c>
      <c r="E25" s="41"/>
      <c r="F25" s="54"/>
      <c r="G25" s="48"/>
      <c r="H25" s="42">
        <f>SUM(H23:H24)</f>
        <v>710.08166549032671</v>
      </c>
      <c r="I25" s="83">
        <f>H25/B25</f>
        <v>0.50689332646698326</v>
      </c>
      <c r="J25" s="11"/>
    </row>
    <row r="26" spans="1:10" ht="5.0999999999999996" customHeight="1" x14ac:dyDescent="0.25">
      <c r="A26" s="82"/>
      <c r="B26" s="14"/>
      <c r="C26" s="196"/>
      <c r="D26" s="92"/>
      <c r="E26" s="202"/>
      <c r="F26" s="203"/>
      <c r="G26" s="203"/>
      <c r="H26" s="196"/>
      <c r="I26" s="92"/>
      <c r="J26" s="11"/>
    </row>
    <row r="27" spans="1:10" x14ac:dyDescent="0.25">
      <c r="A27" s="81" t="s">
        <v>274</v>
      </c>
      <c r="B27" s="48"/>
      <c r="C27" s="196"/>
      <c r="D27" s="92"/>
      <c r="E27" s="48"/>
      <c r="F27" s="48"/>
      <c r="G27" s="48"/>
      <c r="H27" s="196"/>
      <c r="I27" s="92"/>
      <c r="J27" s="11"/>
    </row>
    <row r="28" spans="1:10" x14ac:dyDescent="0.25">
      <c r="A28" s="344" t="s">
        <v>130</v>
      </c>
      <c r="B28" s="105">
        <v>0</v>
      </c>
      <c r="C28" s="196">
        <f>D28*B28</f>
        <v>0</v>
      </c>
      <c r="D28" s="83">
        <v>0</v>
      </c>
      <c r="E28" s="41"/>
      <c r="F28" s="54">
        <v>1.6624309879114112</v>
      </c>
      <c r="G28" s="76"/>
      <c r="H28" s="42">
        <f>C28*F28</f>
        <v>0</v>
      </c>
      <c r="I28" s="83" t="str">
        <f>IF(ISERROR(H28/B28),"n/a",H28/B28)</f>
        <v>n/a</v>
      </c>
      <c r="J28" s="11"/>
    </row>
    <row r="29" spans="1:10" x14ac:dyDescent="0.25">
      <c r="A29" s="343" t="s">
        <v>292</v>
      </c>
      <c r="B29" s="105">
        <v>86.666641407518668</v>
      </c>
      <c r="C29" s="196">
        <f>D29*B29</f>
        <v>26.425603514507713</v>
      </c>
      <c r="D29" s="83">
        <v>0.30491089864958343</v>
      </c>
      <c r="E29" s="41"/>
      <c r="F29" s="54">
        <v>1.6624309879114112</v>
      </c>
      <c r="G29" s="76"/>
      <c r="H29" s="42">
        <f>C29*F29</f>
        <v>43.930742156778315</v>
      </c>
      <c r="I29" s="83">
        <f>IF(ISERROR(H29/B29),"n/a",H29/B29)</f>
        <v>0.50689332646698304</v>
      </c>
      <c r="J29" s="11"/>
    </row>
    <row r="30" spans="1:10" x14ac:dyDescent="0.25">
      <c r="A30" s="344" t="s">
        <v>102</v>
      </c>
      <c r="B30" s="105">
        <f>SUM(B28:B29)</f>
        <v>86.666641407518668</v>
      </c>
      <c r="C30" s="175">
        <f>SUM(C28:C29)</f>
        <v>26.425603514507713</v>
      </c>
      <c r="D30" s="83">
        <f>IF(ISERROR(C30/B30),"n/a",C30/B30)</f>
        <v>0.30491089864958343</v>
      </c>
      <c r="E30" s="41"/>
      <c r="F30" s="54"/>
      <c r="G30" s="48"/>
      <c r="H30" s="42">
        <f>SUM(H28:H29)</f>
        <v>43.930742156778315</v>
      </c>
      <c r="I30" s="83">
        <f>IF(ISERROR(H30/B30),"n/a",H30/B30)</f>
        <v>0.50689332646698304</v>
      </c>
      <c r="J30" s="11"/>
    </row>
    <row r="31" spans="1:10" ht="5.0999999999999996" customHeight="1" x14ac:dyDescent="0.25">
      <c r="A31" s="82"/>
      <c r="B31" s="14"/>
      <c r="C31" s="196"/>
      <c r="D31" s="85"/>
      <c r="E31" s="45"/>
      <c r="F31" s="76"/>
      <c r="G31" s="76"/>
      <c r="H31" s="46"/>
      <c r="I31" s="85"/>
      <c r="J31" s="11"/>
    </row>
    <row r="32" spans="1:10" x14ac:dyDescent="0.25">
      <c r="A32" s="81" t="s">
        <v>279</v>
      </c>
      <c r="B32" s="14"/>
      <c r="C32" s="196"/>
      <c r="D32" s="92"/>
      <c r="E32" s="202"/>
      <c r="F32" s="203"/>
      <c r="G32" s="203"/>
      <c r="H32" s="196"/>
      <c r="I32" s="92"/>
      <c r="J32" s="11"/>
    </row>
    <row r="33" spans="1:10" x14ac:dyDescent="0.25">
      <c r="A33" s="344" t="s">
        <v>130</v>
      </c>
      <c r="B33" s="105">
        <v>0</v>
      </c>
      <c r="C33" s="196">
        <f>D33*B33</f>
        <v>0</v>
      </c>
      <c r="D33" s="83">
        <v>0</v>
      </c>
      <c r="E33" s="41"/>
      <c r="F33" s="54">
        <v>1.6624309879114112</v>
      </c>
      <c r="G33" s="203"/>
      <c r="H33" s="42">
        <f>C33*F33</f>
        <v>0</v>
      </c>
      <c r="I33" s="83" t="str">
        <f>IF(ISERROR(H33/B33),"n/a",H33/B33)</f>
        <v>n/a</v>
      </c>
      <c r="J33" s="11"/>
    </row>
    <row r="34" spans="1:10" x14ac:dyDescent="0.25">
      <c r="A34" s="343" t="s">
        <v>292</v>
      </c>
      <c r="B34" s="105">
        <v>2069.6225444298916</v>
      </c>
      <c r="C34" s="196">
        <f>D34*B34</f>
        <v>631.05046988755566</v>
      </c>
      <c r="D34" s="83">
        <v>0.30491089864958343</v>
      </c>
      <c r="E34" s="41"/>
      <c r="F34" s="54">
        <v>1.6624309879114112</v>
      </c>
      <c r="G34" s="203"/>
      <c r="H34" s="42">
        <f>C34*F34</f>
        <v>1049.0778560771294</v>
      </c>
      <c r="I34" s="83">
        <f>IF(ISERROR(H34/B34),"n/a",H34/B34)</f>
        <v>0.50689332646698315</v>
      </c>
      <c r="J34" s="11"/>
    </row>
    <row r="35" spans="1:10" x14ac:dyDescent="0.25">
      <c r="A35" s="344" t="s">
        <v>102</v>
      </c>
      <c r="B35" s="105">
        <f>SUM(B33:B34)</f>
        <v>2069.6225444298916</v>
      </c>
      <c r="C35" s="175">
        <f>SUM(C33:C34)</f>
        <v>631.05046988755566</v>
      </c>
      <c r="D35" s="83">
        <f>IF(ISERROR(C35/B35),"n/a",C35/B35)</f>
        <v>0.30491089864958343</v>
      </c>
      <c r="E35" s="41"/>
      <c r="F35" s="54"/>
      <c r="G35" s="48"/>
      <c r="H35" s="42">
        <f>SUM(H33:H34)</f>
        <v>1049.0778560771294</v>
      </c>
      <c r="I35" s="83">
        <f>H35/B35</f>
        <v>0.50689332646698315</v>
      </c>
      <c r="J35" s="11"/>
    </row>
    <row r="36" spans="1:10" x14ac:dyDescent="0.25">
      <c r="A36" s="82"/>
      <c r="B36" s="105"/>
      <c r="C36" s="196"/>
      <c r="D36" s="83"/>
      <c r="E36" s="41"/>
      <c r="F36" s="54"/>
      <c r="G36" s="203"/>
      <c r="H36" s="42"/>
      <c r="I36" s="83"/>
      <c r="J36" s="11"/>
    </row>
    <row r="37" spans="1:10" ht="15.6" x14ac:dyDescent="0.3">
      <c r="A37" s="158" t="s">
        <v>652</v>
      </c>
      <c r="J37" s="11"/>
    </row>
    <row r="38" spans="1:10" ht="15.6" x14ac:dyDescent="0.3">
      <c r="A38" s="158" t="s">
        <v>787</v>
      </c>
      <c r="J38" s="11"/>
    </row>
    <row r="39" spans="1:10" ht="26.4" x14ac:dyDescent="0.25">
      <c r="B39" s="168" t="s">
        <v>250</v>
      </c>
      <c r="C39" s="189" t="s">
        <v>249</v>
      </c>
      <c r="D39" s="8" t="s">
        <v>104</v>
      </c>
      <c r="E39" s="8"/>
      <c r="F39" s="199" t="s">
        <v>246</v>
      </c>
      <c r="G39" s="87"/>
      <c r="H39" s="160" t="s">
        <v>218</v>
      </c>
      <c r="I39" s="41" t="s">
        <v>133</v>
      </c>
      <c r="J39" s="11"/>
    </row>
    <row r="40" spans="1:10" x14ac:dyDescent="0.25">
      <c r="A40" s="15" t="s">
        <v>290</v>
      </c>
      <c r="B40" s="14"/>
      <c r="C40" s="196"/>
      <c r="D40" s="92"/>
      <c r="E40" s="202"/>
      <c r="F40" s="203"/>
      <c r="G40" s="203"/>
      <c r="H40" s="196"/>
      <c r="I40" s="92"/>
      <c r="J40" s="11"/>
    </row>
    <row r="41" spans="1:10" x14ac:dyDescent="0.25">
      <c r="A41" s="89" t="s">
        <v>170</v>
      </c>
      <c r="B41" s="48"/>
      <c r="C41" s="196"/>
      <c r="D41" s="92"/>
      <c r="E41" s="48"/>
      <c r="F41" s="48"/>
      <c r="G41" s="48"/>
      <c r="H41" s="196"/>
      <c r="I41" s="92"/>
      <c r="J41" s="11"/>
    </row>
    <row r="42" spans="1:10" x14ac:dyDescent="0.25">
      <c r="A42" s="81" t="s">
        <v>289</v>
      </c>
      <c r="B42" s="105"/>
      <c r="C42" s="196"/>
      <c r="D42" s="83"/>
      <c r="E42" s="41"/>
      <c r="F42" s="54"/>
      <c r="G42" s="75"/>
      <c r="H42" s="42"/>
      <c r="I42" s="83"/>
      <c r="J42" s="11"/>
    </row>
    <row r="43" spans="1:10" x14ac:dyDescent="0.25">
      <c r="A43" s="344" t="s">
        <v>130</v>
      </c>
      <c r="B43" s="105">
        <v>0</v>
      </c>
      <c r="C43" s="196">
        <v>0</v>
      </c>
      <c r="D43" s="83" t="str">
        <f>IF(ISERROR(C43/B43),"n/a",C43/B43)</f>
        <v>n/a</v>
      </c>
      <c r="E43" s="41"/>
      <c r="F43" s="54">
        <v>1.6624309879114112</v>
      </c>
      <c r="G43" s="48"/>
      <c r="H43" s="42">
        <f>C43*F43</f>
        <v>0</v>
      </c>
      <c r="I43" s="83" t="str">
        <f>IF(ISERROR(H43/B43),"n/a",H43/B43)</f>
        <v>n/a</v>
      </c>
      <c r="J43" s="11"/>
    </row>
    <row r="44" spans="1:10" x14ac:dyDescent="0.25">
      <c r="A44" s="343" t="s">
        <v>292</v>
      </c>
      <c r="B44" s="105">
        <v>0</v>
      </c>
      <c r="C44" s="196">
        <v>0</v>
      </c>
      <c r="D44" s="83" t="str">
        <f>IF(ISERROR(C44/B44),"n/a",C44/B44)</f>
        <v>n/a</v>
      </c>
      <c r="E44" s="41"/>
      <c r="F44" s="54">
        <v>1.6624309879114112</v>
      </c>
      <c r="G44" s="48"/>
      <c r="H44" s="42">
        <f>C44*F44</f>
        <v>0</v>
      </c>
      <c r="I44" s="83" t="str">
        <f>IF(ISERROR(H44/B44),"n/a",H44/B44)</f>
        <v>n/a</v>
      </c>
      <c r="J44" s="11"/>
    </row>
    <row r="45" spans="1:10" x14ac:dyDescent="0.25">
      <c r="A45" s="344" t="s">
        <v>102</v>
      </c>
      <c r="B45" s="105">
        <f>SUM(B43:B44)</f>
        <v>0</v>
      </c>
      <c r="C45" s="175">
        <f>SUM(C43:C44)</f>
        <v>0</v>
      </c>
      <c r="D45" s="83" t="str">
        <f>IF(ISERROR(C45/B45),"n/a",C45/B45)</f>
        <v>n/a</v>
      </c>
      <c r="E45" s="41"/>
      <c r="F45" s="54"/>
      <c r="G45" s="48"/>
      <c r="H45" s="42">
        <f>SUM(H43:H44)</f>
        <v>0</v>
      </c>
      <c r="I45" s="83" t="str">
        <f>IF(ISERROR(H45/B45),"n/a",H45/B45)</f>
        <v>n/a</v>
      </c>
      <c r="J45" s="11"/>
    </row>
    <row r="46" spans="1:10" ht="5.0999999999999996" customHeight="1" x14ac:dyDescent="0.25">
      <c r="A46" s="111"/>
      <c r="B46" s="105"/>
      <c r="C46" s="175"/>
      <c r="D46" s="83"/>
      <c r="E46" s="41"/>
      <c r="F46" s="54"/>
      <c r="G46" s="48"/>
      <c r="H46" s="42"/>
      <c r="I46" s="83"/>
      <c r="J46" s="11"/>
    </row>
    <row r="47" spans="1:10" x14ac:dyDescent="0.25">
      <c r="A47" s="81" t="s">
        <v>168</v>
      </c>
      <c r="B47" s="105"/>
      <c r="C47" s="196"/>
      <c r="D47" s="83"/>
      <c r="E47" s="41"/>
      <c r="F47" s="54"/>
      <c r="G47" s="48"/>
      <c r="H47" s="42"/>
      <c r="I47" s="83"/>
      <c r="J47" s="11"/>
    </row>
    <row r="48" spans="1:10" x14ac:dyDescent="0.25">
      <c r="A48" s="344" t="s">
        <v>130</v>
      </c>
      <c r="B48" s="105">
        <v>0</v>
      </c>
      <c r="C48" s="196">
        <v>0</v>
      </c>
      <c r="D48" s="83" t="str">
        <f>IF(ISERROR(C48/B48),"n/a",C48/B48)</f>
        <v>n/a</v>
      </c>
      <c r="E48" s="41"/>
      <c r="F48" s="54">
        <v>1.6624309879114112</v>
      </c>
      <c r="G48" s="75"/>
      <c r="H48" s="42">
        <f>C48*F48</f>
        <v>0</v>
      </c>
      <c r="I48" s="83" t="str">
        <f>IF(ISERROR(H48/B48),"n/a",H48/B48)</f>
        <v>n/a</v>
      </c>
      <c r="J48" s="11"/>
    </row>
    <row r="49" spans="1:10" x14ac:dyDescent="0.25">
      <c r="A49" s="343" t="s">
        <v>292</v>
      </c>
      <c r="B49" s="105">
        <v>0</v>
      </c>
      <c r="C49" s="196">
        <v>0</v>
      </c>
      <c r="D49" s="83" t="str">
        <f>IF(ISERROR(C49/B49),"n/a",C49/B49)</f>
        <v>n/a</v>
      </c>
      <c r="E49" s="41"/>
      <c r="F49" s="54">
        <v>1.6624309879114112</v>
      </c>
      <c r="G49" s="75"/>
      <c r="H49" s="42">
        <f>C49*F49</f>
        <v>0</v>
      </c>
      <c r="I49" s="83" t="str">
        <f>IF(ISERROR(H49/B49),"n/a",H49/B49)</f>
        <v>n/a</v>
      </c>
      <c r="J49" s="11"/>
    </row>
    <row r="50" spans="1:10" x14ac:dyDescent="0.25">
      <c r="A50" s="344" t="s">
        <v>102</v>
      </c>
      <c r="B50" s="105">
        <f>SUM(B48:B49)</f>
        <v>0</v>
      </c>
      <c r="C50" s="175">
        <f>SUM(C48:C49)</f>
        <v>0</v>
      </c>
      <c r="D50" s="83" t="str">
        <f>IF(ISERROR(C50/B50),"n/a",C50/B50)</f>
        <v>n/a</v>
      </c>
      <c r="E50" s="41"/>
      <c r="F50" s="54"/>
      <c r="G50" s="48"/>
      <c r="H50" s="42">
        <f>SUM(H48:H49)</f>
        <v>0</v>
      </c>
      <c r="I50" s="83" t="str">
        <f>IF(ISERROR(H50/B50),"n/a",H50/B50)</f>
        <v>n/a</v>
      </c>
      <c r="J50" s="11"/>
    </row>
    <row r="51" spans="1:10" ht="5.0999999999999996" customHeight="1" x14ac:dyDescent="0.25">
      <c r="A51" s="111"/>
      <c r="B51" s="105"/>
      <c r="C51" s="175"/>
      <c r="D51" s="83"/>
      <c r="E51" s="41"/>
      <c r="F51" s="54"/>
      <c r="G51" s="48"/>
      <c r="H51" s="42"/>
      <c r="I51" s="83"/>
      <c r="J51" s="11"/>
    </row>
    <row r="52" spans="1:10" x14ac:dyDescent="0.25">
      <c r="A52" s="89" t="s">
        <v>169</v>
      </c>
      <c r="B52" s="14"/>
      <c r="C52" s="196"/>
      <c r="D52" s="92"/>
      <c r="E52" s="202"/>
      <c r="F52" s="203"/>
      <c r="G52" s="203"/>
      <c r="H52" s="196"/>
      <c r="I52" s="92"/>
      <c r="J52" s="11"/>
    </row>
    <row r="53" spans="1:10" x14ac:dyDescent="0.25">
      <c r="A53" s="81" t="s">
        <v>289</v>
      </c>
      <c r="B53" s="14"/>
      <c r="C53" s="196"/>
      <c r="D53" s="92"/>
      <c r="E53" s="202"/>
      <c r="F53" s="203"/>
      <c r="G53" s="203"/>
      <c r="H53" s="196"/>
      <c r="I53" s="92"/>
      <c r="J53" s="11"/>
    </row>
    <row r="54" spans="1:10" x14ac:dyDescent="0.25">
      <c r="A54" s="344" t="s">
        <v>130</v>
      </c>
      <c r="B54" s="105">
        <v>0</v>
      </c>
      <c r="C54" s="196">
        <v>0</v>
      </c>
      <c r="D54" s="83" t="str">
        <f>IF(ISERROR(C54/B54),"n/a",C54/B54)</f>
        <v>n/a</v>
      </c>
      <c r="E54" s="41"/>
      <c r="F54" s="54">
        <v>1.6624309879114112</v>
      </c>
      <c r="G54" s="75"/>
      <c r="H54" s="42">
        <f>IF(B54=0,0,C54*F54)</f>
        <v>0</v>
      </c>
      <c r="I54" s="83" t="str">
        <f>IF(ISERROR(H54/B54),"n/a",H54/B54)</f>
        <v>n/a</v>
      </c>
      <c r="J54" s="11"/>
    </row>
    <row r="55" spans="1:10" x14ac:dyDescent="0.25">
      <c r="A55" s="343" t="s">
        <v>292</v>
      </c>
      <c r="B55" s="105">
        <v>0</v>
      </c>
      <c r="C55" s="196">
        <v>0</v>
      </c>
      <c r="D55" s="83" t="str">
        <f>IF(ISERROR(C55/B55),"n/a",C55/B55)</f>
        <v>n/a</v>
      </c>
      <c r="E55" s="41"/>
      <c r="F55" s="54">
        <v>1.6624309879114112</v>
      </c>
      <c r="G55" s="75"/>
      <c r="H55" s="42">
        <f>C55*F55</f>
        <v>0</v>
      </c>
      <c r="I55" s="83" t="str">
        <f>IF(ISERROR(H55/B55),"n/a",H55/B55)</f>
        <v>n/a</v>
      </c>
      <c r="J55" s="11"/>
    </row>
    <row r="56" spans="1:10" x14ac:dyDescent="0.25">
      <c r="A56" s="344" t="s">
        <v>102</v>
      </c>
      <c r="B56" s="105">
        <f>SUM(B54:B55)</f>
        <v>0</v>
      </c>
      <c r="C56" s="175">
        <f>SUM(C54:C55)</f>
        <v>0</v>
      </c>
      <c r="D56" s="83" t="str">
        <f>IF(ISERROR(C56/B56),"n/a",C56/B56)</f>
        <v>n/a</v>
      </c>
      <c r="E56" s="41"/>
      <c r="F56" s="54"/>
      <c r="G56" s="48"/>
      <c r="H56" s="42">
        <f>SUM(H54:H55)</f>
        <v>0</v>
      </c>
      <c r="I56" s="83" t="str">
        <f>IF(ISERROR(H56/B56),"n/a",H56/B56)</f>
        <v>n/a</v>
      </c>
      <c r="J56" s="11"/>
    </row>
    <row r="57" spans="1:10" ht="5.0999999999999996" customHeight="1" x14ac:dyDescent="0.25">
      <c r="A57" s="111"/>
      <c r="B57" s="105"/>
      <c r="C57" s="175"/>
      <c r="D57" s="83"/>
      <c r="E57" s="41"/>
      <c r="F57" s="54"/>
      <c r="G57" s="48"/>
      <c r="H57" s="42"/>
      <c r="I57" s="83"/>
      <c r="J57" s="11"/>
    </row>
    <row r="58" spans="1:10" x14ac:dyDescent="0.25">
      <c r="A58" s="81" t="s">
        <v>168</v>
      </c>
      <c r="B58" s="14"/>
      <c r="C58" s="196"/>
      <c r="D58" s="85"/>
      <c r="E58" s="45"/>
      <c r="F58" s="76"/>
      <c r="G58" s="76"/>
      <c r="H58" s="46"/>
      <c r="I58" s="85"/>
      <c r="J58" s="11"/>
    </row>
    <row r="59" spans="1:10" x14ac:dyDescent="0.25">
      <c r="A59" s="344" t="s">
        <v>130</v>
      </c>
      <c r="B59" s="105">
        <v>0</v>
      </c>
      <c r="C59" s="196">
        <v>0</v>
      </c>
      <c r="D59" s="83" t="str">
        <f>IF(ISERROR(C59/B59),"n/a",C59/B59)</f>
        <v>n/a</v>
      </c>
      <c r="E59" s="41"/>
      <c r="F59" s="54">
        <v>1.6624309879114112</v>
      </c>
      <c r="G59" s="75"/>
      <c r="H59" s="42">
        <f>C59*F59</f>
        <v>0</v>
      </c>
      <c r="I59" s="83" t="str">
        <f>IF(ISERROR(H59/B59),"n/a",H59/B59)</f>
        <v>n/a</v>
      </c>
      <c r="J59" s="11"/>
    </row>
    <row r="60" spans="1:10" x14ac:dyDescent="0.25">
      <c r="A60" s="343" t="s">
        <v>292</v>
      </c>
      <c r="B60" s="105">
        <v>0</v>
      </c>
      <c r="C60" s="196">
        <v>0</v>
      </c>
      <c r="D60" s="83" t="str">
        <f>IF(ISERROR(C60/B60),"n/a",C60/B60)</f>
        <v>n/a</v>
      </c>
      <c r="E60" s="41"/>
      <c r="F60" s="54">
        <v>1.6624309879114112</v>
      </c>
      <c r="G60" s="75"/>
      <c r="H60" s="42">
        <f>C60*F60</f>
        <v>0</v>
      </c>
      <c r="I60" s="83" t="str">
        <f>IF(ISERROR(H60/B60),"n/a",H60/B60)</f>
        <v>n/a</v>
      </c>
      <c r="J60" s="11"/>
    </row>
    <row r="61" spans="1:10" x14ac:dyDescent="0.25">
      <c r="A61" s="344" t="s">
        <v>102</v>
      </c>
      <c r="B61" s="105">
        <f>SUM(B59:B60)</f>
        <v>0</v>
      </c>
      <c r="C61" s="175">
        <f>SUM(C59:C60)</f>
        <v>0</v>
      </c>
      <c r="D61" s="83" t="str">
        <f>IF(ISERROR(C61/B61),"n/a",C61/B61)</f>
        <v>n/a</v>
      </c>
      <c r="E61" s="41"/>
      <c r="F61" s="54"/>
      <c r="G61" s="48"/>
      <c r="H61" s="42">
        <f>SUM(H59:H60)</f>
        <v>0</v>
      </c>
      <c r="I61" s="83" t="str">
        <f>IF(ISERROR(H61/B61),"n/a",H61/B61)</f>
        <v>n/a</v>
      </c>
      <c r="J61" s="11"/>
    </row>
    <row r="62" spans="1:10" x14ac:dyDescent="0.25">
      <c r="A62" s="344"/>
      <c r="B62" s="105"/>
      <c r="C62" s="175"/>
      <c r="D62" s="83"/>
      <c r="E62" s="41"/>
      <c r="F62" s="54"/>
      <c r="G62" s="48"/>
      <c r="H62" s="42"/>
      <c r="I62" s="83"/>
      <c r="J62" s="11"/>
    </row>
    <row r="63" spans="1:10" ht="15.6" x14ac:dyDescent="0.3">
      <c r="A63" s="158" t="s">
        <v>653</v>
      </c>
      <c r="J63" s="11"/>
    </row>
    <row r="64" spans="1:10" ht="15.6" x14ac:dyDescent="0.3">
      <c r="A64" s="158" t="s">
        <v>787</v>
      </c>
      <c r="J64" s="11"/>
    </row>
    <row r="65" spans="1:10" ht="26.4" x14ac:dyDescent="0.25">
      <c r="B65" s="168" t="s">
        <v>250</v>
      </c>
      <c r="C65" s="189" t="s">
        <v>249</v>
      </c>
      <c r="D65" s="8" t="s">
        <v>104</v>
      </c>
      <c r="E65" s="8"/>
      <c r="F65" s="199" t="s">
        <v>246</v>
      </c>
      <c r="G65" s="87"/>
      <c r="H65" s="160" t="s">
        <v>218</v>
      </c>
      <c r="I65" s="41" t="s">
        <v>133</v>
      </c>
      <c r="J65" s="11"/>
    </row>
    <row r="66" spans="1:10" x14ac:dyDescent="0.25">
      <c r="A66" s="15" t="s">
        <v>783</v>
      </c>
      <c r="B66" s="168"/>
      <c r="C66" s="189"/>
      <c r="D66" s="8"/>
      <c r="E66" s="8"/>
      <c r="F66" s="199"/>
      <c r="G66" s="87"/>
      <c r="H66" s="160"/>
      <c r="I66" s="41"/>
      <c r="J66" s="11"/>
    </row>
    <row r="67" spans="1:10" x14ac:dyDescent="0.25">
      <c r="A67" s="89" t="s">
        <v>174</v>
      </c>
      <c r="B67" s="105"/>
      <c r="C67" s="175"/>
      <c r="D67" s="83"/>
      <c r="E67" s="41"/>
      <c r="F67" s="54"/>
      <c r="G67" s="48"/>
      <c r="H67" s="42"/>
      <c r="I67" s="83"/>
      <c r="J67" s="11"/>
    </row>
    <row r="68" spans="1:10" x14ac:dyDescent="0.25">
      <c r="A68" s="82" t="s">
        <v>274</v>
      </c>
      <c r="B68" s="105"/>
      <c r="C68" s="175"/>
      <c r="D68" s="83"/>
      <c r="E68" s="41"/>
      <c r="F68" s="54"/>
      <c r="G68" s="48"/>
      <c r="H68" s="42"/>
      <c r="I68" s="83"/>
      <c r="J68" s="11"/>
    </row>
    <row r="69" spans="1:10" x14ac:dyDescent="0.25">
      <c r="A69" s="344" t="s">
        <v>130</v>
      </c>
      <c r="B69" s="105">
        <v>0</v>
      </c>
      <c r="C69" s="196">
        <v>0</v>
      </c>
      <c r="D69" s="83" t="str">
        <f>IF(ISERROR(C69/B69),"n/a",C69/B69)</f>
        <v>n/a</v>
      </c>
      <c r="E69" s="41"/>
      <c r="F69" s="54">
        <v>1.6624309879114112</v>
      </c>
      <c r="G69" s="48"/>
      <c r="H69" s="42">
        <f>C69*F69</f>
        <v>0</v>
      </c>
      <c r="I69" s="83" t="str">
        <f>IF(ISERROR(H69/B69),"n/a",H69/B69)</f>
        <v>n/a</v>
      </c>
      <c r="J69" s="11"/>
    </row>
    <row r="70" spans="1:10" x14ac:dyDescent="0.25">
      <c r="A70" s="343" t="s">
        <v>292</v>
      </c>
      <c r="B70" s="105">
        <v>1388.3058718910015</v>
      </c>
      <c r="C70" s="196">
        <v>18.540769592233403</v>
      </c>
      <c r="D70" s="83">
        <f>IF(ISERROR(C70/B70),"n/a",C70/B70)</f>
        <v>1.3354960147924141E-2</v>
      </c>
      <c r="E70" s="41"/>
      <c r="F70" s="54">
        <v>1.6624309879114112</v>
      </c>
      <c r="G70" s="48"/>
      <c r="H70" s="42">
        <f>C70*F70</f>
        <v>30.82274990985443</v>
      </c>
      <c r="I70" s="83">
        <f>IF(ISERROR(H70/B70),"n/a",H70/B70)</f>
        <v>2.2201699592231058E-2</v>
      </c>
      <c r="J70" s="11"/>
    </row>
    <row r="71" spans="1:10" x14ac:dyDescent="0.25">
      <c r="A71" s="344" t="s">
        <v>102</v>
      </c>
      <c r="B71" s="105">
        <f>SUM(B69:B70)</f>
        <v>1388.3058718910015</v>
      </c>
      <c r="C71" s="196">
        <f>SUM(C69:C70)</f>
        <v>18.540769592233403</v>
      </c>
      <c r="D71" s="83">
        <f>IF(ISERROR(C71/B71),"n/a",C71/B71)</f>
        <v>1.3354960147924141E-2</v>
      </c>
      <c r="E71" s="41"/>
      <c r="F71" s="54"/>
      <c r="G71" s="48"/>
      <c r="H71" s="42">
        <f>SUM(H69:H70)</f>
        <v>30.82274990985443</v>
      </c>
      <c r="I71" s="83">
        <f>H71/B71</f>
        <v>2.2201699592231058E-2</v>
      </c>
      <c r="J71" s="11"/>
    </row>
    <row r="72" spans="1:10" ht="5.0999999999999996" customHeight="1" x14ac:dyDescent="0.25">
      <c r="A72" s="111"/>
      <c r="B72" s="105"/>
      <c r="C72" s="175"/>
      <c r="D72" s="83"/>
      <c r="E72" s="41"/>
      <c r="F72" s="54"/>
      <c r="G72" s="48"/>
      <c r="H72" s="42"/>
      <c r="I72" s="83"/>
      <c r="J72" s="11"/>
    </row>
    <row r="73" spans="1:10" x14ac:dyDescent="0.25">
      <c r="A73" s="81" t="s">
        <v>279</v>
      </c>
      <c r="B73" s="105"/>
      <c r="C73" s="175"/>
      <c r="D73" s="83"/>
      <c r="E73" s="41"/>
      <c r="F73" s="54"/>
      <c r="G73" s="48"/>
      <c r="H73" s="42"/>
      <c r="I73" s="83"/>
      <c r="J73" s="11"/>
    </row>
    <row r="74" spans="1:10" x14ac:dyDescent="0.25">
      <c r="A74" s="344" t="s">
        <v>130</v>
      </c>
      <c r="B74" s="105">
        <v>0</v>
      </c>
      <c r="C74" s="196">
        <v>0</v>
      </c>
      <c r="D74" s="83" t="str">
        <f>IF(ISERROR(C74/B74),"n/a",C74/B74)</f>
        <v>n/a</v>
      </c>
      <c r="E74" s="41"/>
      <c r="F74" s="54">
        <v>1.6624309879114112</v>
      </c>
      <c r="G74" s="48"/>
      <c r="H74" s="42">
        <f>C74*F74</f>
        <v>0</v>
      </c>
      <c r="I74" s="83" t="str">
        <f>IF(ISERROR(H74/B74),"n/a",H74/B74)</f>
        <v>n/a</v>
      </c>
      <c r="J74" s="11"/>
    </row>
    <row r="75" spans="1:10" x14ac:dyDescent="0.25">
      <c r="A75" s="343" t="s">
        <v>292</v>
      </c>
      <c r="B75" s="105">
        <v>4362.4889962229909</v>
      </c>
      <c r="C75" s="196">
        <v>58.260866690315652</v>
      </c>
      <c r="D75" s="83">
        <f>IF(ISERROR(C75/B75),"n/a",C75/B75)</f>
        <v>1.3354960147924146E-2</v>
      </c>
      <c r="E75" s="41"/>
      <c r="F75" s="54">
        <v>1.6624309879114112</v>
      </c>
      <c r="G75" s="48"/>
      <c r="H75" s="42">
        <f>C75*F75</f>
        <v>96.854670168556481</v>
      </c>
      <c r="I75" s="83">
        <f>IF(ISERROR(H75/B75),"n/a",H75/B75)</f>
        <v>2.2201699592231065E-2</v>
      </c>
      <c r="J75" s="11"/>
    </row>
    <row r="76" spans="1:10" x14ac:dyDescent="0.25">
      <c r="A76" s="344" t="s">
        <v>102</v>
      </c>
      <c r="B76" s="105">
        <f>SUM(B74:B75)</f>
        <v>4362.4889962229909</v>
      </c>
      <c r="C76" s="196">
        <f>SUM(C74:C75)</f>
        <v>58.260866690315652</v>
      </c>
      <c r="D76" s="83">
        <f>IF(ISERROR(C76/B76),"n/a",C76/B76)</f>
        <v>1.3354960147924146E-2</v>
      </c>
      <c r="E76" s="41"/>
      <c r="F76" s="54"/>
      <c r="G76" s="48"/>
      <c r="H76" s="42">
        <f>SUM(H74:H75)</f>
        <v>96.854670168556481</v>
      </c>
      <c r="I76" s="83">
        <f>H76/B76</f>
        <v>2.2201699592231065E-2</v>
      </c>
      <c r="J76" s="11"/>
    </row>
    <row r="77" spans="1:10" ht="5.0999999999999996" customHeight="1" x14ac:dyDescent="0.25">
      <c r="A77" s="344"/>
      <c r="B77" s="105"/>
      <c r="C77" s="175"/>
      <c r="D77" s="83"/>
      <c r="E77" s="41"/>
      <c r="F77" s="54"/>
      <c r="G77" s="48"/>
      <c r="H77" s="42"/>
      <c r="I77" s="83"/>
      <c r="J77" s="11"/>
    </row>
    <row r="78" spans="1:10" x14ac:dyDescent="0.25">
      <c r="A78" s="21" t="s">
        <v>308</v>
      </c>
      <c r="B78" s="105"/>
      <c r="C78" s="175"/>
      <c r="D78" s="83"/>
      <c r="E78" s="41"/>
      <c r="F78" s="54"/>
      <c r="G78" s="48"/>
      <c r="H78" s="42"/>
      <c r="I78" s="83"/>
      <c r="J78" s="11"/>
    </row>
    <row r="79" spans="1:10" x14ac:dyDescent="0.25">
      <c r="A79" s="82" t="s">
        <v>274</v>
      </c>
      <c r="B79" s="105"/>
      <c r="C79" s="175"/>
      <c r="D79" s="83"/>
      <c r="E79" s="41"/>
      <c r="F79" s="54"/>
      <c r="G79" s="48"/>
      <c r="H79" s="42"/>
      <c r="I79" s="83"/>
      <c r="J79" s="11"/>
    </row>
    <row r="80" spans="1:10" x14ac:dyDescent="0.25">
      <c r="A80" s="344" t="s">
        <v>130</v>
      </c>
      <c r="B80" s="105">
        <v>0</v>
      </c>
      <c r="C80" s="175">
        <v>0</v>
      </c>
      <c r="D80" s="83" t="str">
        <f>IF(ISERROR(C80/B80),"n/a",C80/B80)</f>
        <v>n/a</v>
      </c>
      <c r="E80" s="41"/>
      <c r="F80" s="54">
        <v>1.6624309879114112</v>
      </c>
      <c r="G80" s="48"/>
      <c r="H80" s="42">
        <f>C80*F80</f>
        <v>0</v>
      </c>
      <c r="I80" s="83" t="str">
        <f>IF(ISERROR(H80/B80),"n/a",H80/B80)</f>
        <v>n/a</v>
      </c>
      <c r="J80" s="11"/>
    </row>
    <row r="81" spans="1:10" x14ac:dyDescent="0.25">
      <c r="A81" s="343" t="s">
        <v>292</v>
      </c>
      <c r="B81" s="105">
        <v>1388.3058718910015</v>
      </c>
      <c r="C81" s="175">
        <v>339.77983896555645</v>
      </c>
      <c r="D81" s="83">
        <f>IF(ISERROR(C81/B81),"n/a",C81/B81)</f>
        <v>0.24474422088465617</v>
      </c>
      <c r="E81" s="41"/>
      <c r="F81" s="54">
        <v>1.6624309879114112</v>
      </c>
      <c r="G81" s="48"/>
      <c r="H81" s="42">
        <f>C81*F81</f>
        <v>564.86053336389023</v>
      </c>
      <c r="I81" s="83">
        <f>IF(ISERROR(H81/B81),"n/a",H81/B81)</f>
        <v>0.40687037691088762</v>
      </c>
      <c r="J81" s="11"/>
    </row>
    <row r="82" spans="1:10" x14ac:dyDescent="0.25">
      <c r="A82" s="344" t="s">
        <v>102</v>
      </c>
      <c r="B82" s="105">
        <f>SUM(B80:B81)</f>
        <v>1388.3058718910015</v>
      </c>
      <c r="C82" s="196">
        <f>SUM(C80:C81)</f>
        <v>339.77983896555645</v>
      </c>
      <c r="D82" s="83">
        <f>IF(ISERROR(C82/B82),"n/a",C82/B82)</f>
        <v>0.24474422088465617</v>
      </c>
      <c r="E82" s="41"/>
      <c r="F82" s="54"/>
      <c r="G82" s="48"/>
      <c r="H82" s="42">
        <f>SUM(H80:H81)</f>
        <v>564.86053336389023</v>
      </c>
      <c r="I82" s="83">
        <f>H82/B82</f>
        <v>0.40687037691088762</v>
      </c>
      <c r="J82" s="11"/>
    </row>
    <row r="83" spans="1:10" ht="5.0999999999999996" customHeight="1" x14ac:dyDescent="0.25">
      <c r="A83" s="111"/>
      <c r="B83" s="105"/>
      <c r="C83" s="175"/>
      <c r="D83" s="83"/>
      <c r="E83" s="41"/>
      <c r="F83" s="54"/>
      <c r="G83" s="48"/>
      <c r="H83" s="42"/>
      <c r="I83" s="83"/>
      <c r="J83" s="11"/>
    </row>
    <row r="84" spans="1:10" x14ac:dyDescent="0.25">
      <c r="A84" s="81" t="s">
        <v>279</v>
      </c>
      <c r="B84" s="105"/>
      <c r="C84" s="175"/>
      <c r="D84" s="83"/>
      <c r="E84" s="41"/>
      <c r="F84" s="54"/>
      <c r="G84" s="48"/>
      <c r="H84" s="42"/>
      <c r="I84" s="83"/>
      <c r="J84" s="11"/>
    </row>
    <row r="85" spans="1:10" x14ac:dyDescent="0.25">
      <c r="A85" s="344" t="s">
        <v>130</v>
      </c>
      <c r="B85" s="105">
        <v>0</v>
      </c>
      <c r="C85" s="175">
        <v>0</v>
      </c>
      <c r="D85" s="83" t="str">
        <f>IF(ISERROR(C85/B85),"n/a",C85/B85)</f>
        <v>n/a</v>
      </c>
      <c r="E85" s="41"/>
      <c r="F85" s="54">
        <v>1.6624309879114112</v>
      </c>
      <c r="G85" s="48"/>
      <c r="H85" s="42">
        <f>C85*F85</f>
        <v>0</v>
      </c>
      <c r="I85" s="83" t="str">
        <f>IF(ISERROR(H85/B85),"n/a",H85/B85)</f>
        <v>n/a</v>
      </c>
      <c r="J85" s="11"/>
    </row>
    <row r="86" spans="1:10" x14ac:dyDescent="0.25">
      <c r="A86" s="343" t="s">
        <v>292</v>
      </c>
      <c r="B86" s="105">
        <v>4362.4889962229909</v>
      </c>
      <c r="C86" s="175">
        <v>1067.6939704984818</v>
      </c>
      <c r="D86" s="83">
        <f>IF(ISERROR(C86/B86),"n/a",C86/B86)</f>
        <v>0.24474422088465619</v>
      </c>
      <c r="E86" s="41"/>
      <c r="F86" s="54">
        <v>1.6624309879114112</v>
      </c>
      <c r="G86" s="48"/>
      <c r="H86" s="42">
        <f>C86*F86</f>
        <v>1774.9675421628483</v>
      </c>
      <c r="I86" s="83">
        <f>IF(ISERROR(H86/B86),"n/a",H86/B86)</f>
        <v>0.40687037691088768</v>
      </c>
      <c r="J86" s="11"/>
    </row>
    <row r="87" spans="1:10" x14ac:dyDescent="0.25">
      <c r="A87" s="344" t="s">
        <v>102</v>
      </c>
      <c r="B87" s="105">
        <f>SUM(B85:B86)</f>
        <v>4362.4889962229909</v>
      </c>
      <c r="C87" s="196">
        <f>SUM(C85:C86)</f>
        <v>1067.6939704984818</v>
      </c>
      <c r="D87" s="83">
        <f>IF(ISERROR(C87/B87),"n/a",C87/B87)</f>
        <v>0.24474422088465619</v>
      </c>
      <c r="E87" s="41"/>
      <c r="F87" s="54"/>
      <c r="G87" s="48"/>
      <c r="H87" s="42">
        <f>SUM(H85:H86)</f>
        <v>1774.9675421628483</v>
      </c>
      <c r="I87" s="83">
        <f>H87/B87</f>
        <v>0.40687037691088768</v>
      </c>
      <c r="J87" s="11"/>
    </row>
    <row r="88" spans="1:10" hidden="1" x14ac:dyDescent="0.25">
      <c r="A88" s="343"/>
      <c r="B88" s="105"/>
      <c r="C88" s="196"/>
      <c r="D88" s="83"/>
      <c r="E88" s="41"/>
      <c r="F88" s="54"/>
      <c r="G88" s="48"/>
      <c r="H88" s="42"/>
      <c r="I88" s="83"/>
      <c r="J88" s="11"/>
    </row>
    <row r="89" spans="1:10" hidden="1" x14ac:dyDescent="0.25">
      <c r="A89" s="344"/>
      <c r="B89" s="105"/>
      <c r="C89" s="196"/>
      <c r="D89" s="83"/>
      <c r="E89" s="41"/>
      <c r="F89" s="54"/>
      <c r="G89" s="48"/>
      <c r="H89" s="42"/>
      <c r="I89" s="83"/>
      <c r="J89" s="11"/>
    </row>
    <row r="90" spans="1:10" hidden="1" x14ac:dyDescent="0.25">
      <c r="A90" s="27"/>
      <c r="B90" s="547" t="s">
        <v>193</v>
      </c>
      <c r="C90" s="32">
        <f>SUM(C7,C12,C17,C23,C28,C33,C43,C48,C54,C59)</f>
        <v>0</v>
      </c>
      <c r="D90" s="31">
        <v>0</v>
      </c>
      <c r="E90" s="132"/>
      <c r="F90" s="128">
        <f>C90-D90</f>
        <v>0</v>
      </c>
      <c r="G90" s="78"/>
      <c r="H90" s="64"/>
      <c r="I90" s="64"/>
      <c r="J90" s="11"/>
    </row>
    <row r="91" spans="1:10" hidden="1" x14ac:dyDescent="0.25">
      <c r="A91" s="140"/>
      <c r="B91" s="547" t="s">
        <v>194</v>
      </c>
      <c r="C91" s="32">
        <f>SUM(C8,C13,C18,C24,C29,C34,C44,C49,C55,C60)</f>
        <v>8789.3266108758762</v>
      </c>
      <c r="D91" s="31">
        <v>8789.3266108758762</v>
      </c>
      <c r="E91" s="130"/>
      <c r="F91" s="128">
        <f>C91-D91</f>
        <v>0</v>
      </c>
      <c r="G91" s="78"/>
      <c r="H91" s="64"/>
      <c r="I91" s="64"/>
      <c r="J91" s="11"/>
    </row>
    <row r="92" spans="1:10" hidden="1" x14ac:dyDescent="0.25">
      <c r="A92" s="140"/>
      <c r="B92" s="547" t="s">
        <v>195</v>
      </c>
      <c r="C92" s="32">
        <f>SUM(C90:C91)</f>
        <v>8789.3266108758762</v>
      </c>
      <c r="D92" s="32">
        <f>SUM(D90:D91)</f>
        <v>8789.3266108758762</v>
      </c>
      <c r="E92" s="137"/>
      <c r="F92" s="128">
        <f>C92-D92</f>
        <v>0</v>
      </c>
      <c r="G92" s="78"/>
      <c r="H92" s="64"/>
      <c r="I92" s="64"/>
      <c r="J92" s="11"/>
    </row>
    <row r="93" spans="1:10" hidden="1" x14ac:dyDescent="0.25">
      <c r="A93" s="140"/>
      <c r="B93" s="548" t="s">
        <v>196</v>
      </c>
      <c r="C93" s="31">
        <f>C43+C48+C54+C59</f>
        <v>0</v>
      </c>
      <c r="D93" s="31">
        <v>0</v>
      </c>
      <c r="E93" s="130"/>
      <c r="F93" s="128">
        <f>C93-D93</f>
        <v>0</v>
      </c>
      <c r="G93" s="78"/>
      <c r="H93" s="64"/>
      <c r="I93" s="64"/>
      <c r="J93" s="11"/>
    </row>
    <row r="94" spans="1:10" hidden="1" x14ac:dyDescent="0.25">
      <c r="A94" s="140"/>
      <c r="B94" s="548" t="s">
        <v>197</v>
      </c>
      <c r="C94" s="31">
        <f>C44+C49+C55+C60</f>
        <v>0</v>
      </c>
      <c r="D94" s="31">
        <v>0</v>
      </c>
      <c r="E94" s="130"/>
      <c r="F94" s="128">
        <f>C94-D94</f>
        <v>0</v>
      </c>
      <c r="G94" s="78"/>
      <c r="H94" s="64"/>
      <c r="I94" s="64"/>
      <c r="J94" s="11"/>
    </row>
    <row r="95" spans="1:10" hidden="1" x14ac:dyDescent="0.25">
      <c r="A95" s="11"/>
      <c r="C95" s="64"/>
      <c r="D95" s="64"/>
      <c r="E95" s="64"/>
      <c r="F95" s="78"/>
      <c r="G95" s="78"/>
      <c r="H95" s="64"/>
      <c r="I95" s="64"/>
      <c r="J95" s="11"/>
    </row>
    <row r="96" spans="1:10" hidden="1" x14ac:dyDescent="0.25">
      <c r="A96" s="11"/>
      <c r="C96" s="64"/>
      <c r="D96" s="64"/>
      <c r="E96" s="64"/>
      <c r="F96" s="78"/>
      <c r="G96" s="78"/>
      <c r="H96" s="64"/>
      <c r="I96" s="64"/>
      <c r="J96" s="11"/>
    </row>
    <row r="97" spans="1:10" hidden="1" x14ac:dyDescent="0.25">
      <c r="A97" s="347" t="s">
        <v>198</v>
      </c>
      <c r="B97" s="133">
        <v>0</v>
      </c>
      <c r="C97" s="136" t="s">
        <v>199</v>
      </c>
      <c r="D97" s="64"/>
      <c r="E97" s="64"/>
      <c r="F97" s="78"/>
      <c r="G97" s="78"/>
      <c r="H97" s="64"/>
      <c r="I97" s="64"/>
      <c r="J97" s="11"/>
    </row>
    <row r="98" spans="1:10" hidden="1" x14ac:dyDescent="0.25">
      <c r="A98" s="347" t="s">
        <v>200</v>
      </c>
      <c r="B98" s="133">
        <v>0</v>
      </c>
      <c r="C98" s="64" t="s">
        <v>201</v>
      </c>
      <c r="D98" s="64"/>
      <c r="E98" s="64"/>
      <c r="F98" s="78"/>
      <c r="G98" s="78"/>
      <c r="H98" s="64"/>
      <c r="I98" s="64"/>
      <c r="J98" s="11"/>
    </row>
    <row r="99" spans="1:10" hidden="1" x14ac:dyDescent="0.25">
      <c r="A99" s="347" t="s">
        <v>202</v>
      </c>
      <c r="B99" s="133">
        <v>0</v>
      </c>
      <c r="C99" s="64"/>
      <c r="D99" s="64"/>
      <c r="E99" s="64"/>
      <c r="F99" s="78"/>
      <c r="G99" s="78"/>
      <c r="H99" s="64"/>
      <c r="I99" s="64"/>
      <c r="J99" s="11"/>
    </row>
    <row r="100" spans="1:10" hidden="1" x14ac:dyDescent="0.25">
      <c r="A100" s="347" t="s">
        <v>203</v>
      </c>
      <c r="B100" s="133">
        <v>0</v>
      </c>
      <c r="C100" s="136" t="s">
        <v>204</v>
      </c>
      <c r="D100" s="64"/>
      <c r="E100" s="64"/>
      <c r="F100" s="78"/>
      <c r="G100" s="78"/>
      <c r="H100" s="64"/>
      <c r="I100" s="64"/>
      <c r="J100" s="11"/>
    </row>
    <row r="101" spans="1:10" hidden="1" x14ac:dyDescent="0.25">
      <c r="A101" s="347" t="s">
        <v>205</v>
      </c>
      <c r="B101" s="133">
        <v>0</v>
      </c>
      <c r="C101" s="64"/>
      <c r="D101" s="64"/>
      <c r="E101" s="64"/>
      <c r="F101" s="78"/>
      <c r="G101" s="78"/>
      <c r="H101" s="64"/>
      <c r="I101" s="64"/>
      <c r="J101" s="11"/>
    </row>
    <row r="102" spans="1:10" hidden="1" x14ac:dyDescent="0.25">
      <c r="A102" s="11"/>
      <c r="C102" s="64"/>
      <c r="D102" s="64"/>
      <c r="E102" s="64"/>
      <c r="F102" s="78"/>
      <c r="G102" s="78"/>
      <c r="H102" s="64"/>
      <c r="I102" s="64"/>
      <c r="J102" s="11"/>
    </row>
    <row r="103" spans="1:10" hidden="1" x14ac:dyDescent="0.25">
      <c r="A103" s="140"/>
      <c r="B103" s="548" t="s">
        <v>231</v>
      </c>
      <c r="C103" s="32">
        <f>C23+C28+C33</f>
        <v>0</v>
      </c>
      <c r="D103" s="32">
        <v>0</v>
      </c>
      <c r="E103" s="64"/>
      <c r="F103" s="128">
        <f>C103-D103</f>
        <v>0</v>
      </c>
      <c r="G103" s="78"/>
      <c r="H103" s="242"/>
      <c r="I103" s="64"/>
      <c r="J103" s="11"/>
    </row>
    <row r="104" spans="1:10" hidden="1" x14ac:dyDescent="0.25">
      <c r="A104" s="140"/>
      <c r="B104" s="548" t="s">
        <v>232</v>
      </c>
      <c r="C104" s="32">
        <f>C24+C29+C34</f>
        <v>1084.6105954687118</v>
      </c>
      <c r="D104" s="32">
        <v>1084.6105954687116</v>
      </c>
      <c r="E104" s="64"/>
      <c r="F104" s="128">
        <f>C104-D104</f>
        <v>0</v>
      </c>
      <c r="G104" s="78"/>
      <c r="H104" s="242"/>
      <c r="I104" s="64"/>
      <c r="J104" s="11"/>
    </row>
    <row r="105" spans="1:10" hidden="1" x14ac:dyDescent="0.25">
      <c r="A105" s="140"/>
      <c r="B105" s="548"/>
      <c r="C105" s="32"/>
      <c r="D105" s="32"/>
      <c r="E105" s="64"/>
      <c r="F105" s="128"/>
      <c r="G105" s="78"/>
      <c r="H105" s="242"/>
      <c r="I105" s="64"/>
      <c r="J105" s="11"/>
    </row>
    <row r="106" spans="1:10" hidden="1" x14ac:dyDescent="0.25">
      <c r="A106" s="140"/>
      <c r="B106" s="347" t="s">
        <v>293</v>
      </c>
      <c r="C106" s="32">
        <f>C69+C80</f>
        <v>0</v>
      </c>
      <c r="D106" s="32">
        <v>0</v>
      </c>
      <c r="E106" s="64"/>
      <c r="F106" s="128">
        <f>C106-D106</f>
        <v>0</v>
      </c>
      <c r="G106" s="78"/>
      <c r="H106" s="242"/>
      <c r="I106" s="64"/>
      <c r="J106" s="11"/>
    </row>
    <row r="107" spans="1:10" hidden="1" x14ac:dyDescent="0.25">
      <c r="A107" s="140"/>
      <c r="B107" s="347" t="s">
        <v>294</v>
      </c>
      <c r="C107" s="32">
        <f>C70+C81</f>
        <v>358.32060855778985</v>
      </c>
      <c r="D107" s="32">
        <v>358.32060855778985</v>
      </c>
      <c r="E107" s="64"/>
      <c r="F107" s="128">
        <f>C107-D107</f>
        <v>0</v>
      </c>
      <c r="G107" s="78"/>
      <c r="H107" s="242"/>
      <c r="I107" s="64"/>
      <c r="J107" s="11"/>
    </row>
    <row r="108" spans="1:10" hidden="1" x14ac:dyDescent="0.25">
      <c r="A108" s="140"/>
      <c r="B108" s="347" t="s">
        <v>295</v>
      </c>
      <c r="C108" s="32">
        <f>C74+C85</f>
        <v>0</v>
      </c>
      <c r="D108" s="32">
        <v>0</v>
      </c>
      <c r="E108" s="64"/>
      <c r="F108" s="128">
        <f>C108-D108</f>
        <v>0</v>
      </c>
      <c r="G108" s="78"/>
      <c r="H108" s="242"/>
      <c r="I108" s="64"/>
      <c r="J108" s="11"/>
    </row>
    <row r="109" spans="1:10" hidden="1" x14ac:dyDescent="0.25">
      <c r="A109" s="140"/>
      <c r="B109" s="347" t="s">
        <v>296</v>
      </c>
      <c r="C109" s="32">
        <f>C75+C86</f>
        <v>1125.9548371887975</v>
      </c>
      <c r="D109" s="32">
        <v>1125.9548371887975</v>
      </c>
      <c r="E109" s="64"/>
      <c r="F109" s="128">
        <f>C109-D109</f>
        <v>0</v>
      </c>
      <c r="G109" s="78"/>
      <c r="H109" s="242"/>
      <c r="I109" s="64"/>
      <c r="J109" s="11"/>
    </row>
    <row r="110" spans="1:10" hidden="1" x14ac:dyDescent="0.25">
      <c r="A110" s="140"/>
      <c r="B110" s="347"/>
      <c r="C110" s="32"/>
      <c r="D110" s="32"/>
      <c r="E110" s="348"/>
      <c r="F110" s="349"/>
      <c r="G110" s="78"/>
      <c r="H110" s="242"/>
      <c r="I110" s="64"/>
      <c r="J110" s="11"/>
    </row>
    <row r="111" spans="1:10" hidden="1" x14ac:dyDescent="0.25">
      <c r="A111" s="145" t="s">
        <v>297</v>
      </c>
      <c r="B111" s="133">
        <v>0</v>
      </c>
      <c r="C111" s="32"/>
      <c r="D111" s="32"/>
      <c r="E111" s="64"/>
      <c r="F111" s="349"/>
      <c r="G111" s="78"/>
      <c r="H111" s="242"/>
      <c r="I111" s="64"/>
      <c r="J111" s="11"/>
    </row>
    <row r="112" spans="1:10" hidden="1" x14ac:dyDescent="0.25">
      <c r="A112" s="145" t="s">
        <v>298</v>
      </c>
      <c r="B112" s="133">
        <v>0</v>
      </c>
      <c r="C112" s="32"/>
      <c r="D112" s="32"/>
      <c r="E112" s="64"/>
      <c r="F112" s="349"/>
      <c r="G112" s="78"/>
      <c r="H112" s="242"/>
      <c r="I112" s="64"/>
      <c r="J112" s="11"/>
    </row>
    <row r="113" spans="1:10" hidden="1" x14ac:dyDescent="0.25">
      <c r="A113" s="145" t="s">
        <v>299</v>
      </c>
      <c r="B113" s="133">
        <v>0</v>
      </c>
      <c r="C113" s="32"/>
      <c r="D113" s="32"/>
      <c r="E113" s="64"/>
      <c r="F113" s="349"/>
      <c r="G113" s="78"/>
      <c r="H113" s="242"/>
      <c r="I113" s="64"/>
      <c r="J113" s="11"/>
    </row>
    <row r="114" spans="1:10" hidden="1" x14ac:dyDescent="0.25">
      <c r="A114" s="145" t="s">
        <v>300</v>
      </c>
      <c r="B114" s="133">
        <v>0</v>
      </c>
      <c r="C114" s="32"/>
      <c r="D114" s="32"/>
      <c r="E114" s="64"/>
      <c r="F114" s="349"/>
      <c r="G114" s="78"/>
      <c r="H114" s="242"/>
      <c r="I114" s="64"/>
      <c r="J114" s="11"/>
    </row>
    <row r="115" spans="1:10" x14ac:dyDescent="0.25">
      <c r="A115" s="141"/>
      <c r="B115" s="283"/>
      <c r="C115" s="293"/>
      <c r="D115" s="293"/>
      <c r="E115" s="293"/>
      <c r="F115" s="78"/>
      <c r="G115" s="78"/>
      <c r="H115" s="64"/>
      <c r="I115" s="64"/>
      <c r="J115" s="11"/>
    </row>
    <row r="116" spans="1:10" x14ac:dyDescent="0.25">
      <c r="A116" s="11" t="s">
        <v>235</v>
      </c>
      <c r="C116" s="64"/>
      <c r="D116" s="64"/>
      <c r="E116" s="64"/>
      <c r="F116" s="78"/>
      <c r="G116" s="78"/>
      <c r="H116" s="64"/>
      <c r="I116" s="64"/>
      <c r="J116" s="11"/>
    </row>
    <row r="117" spans="1:10" x14ac:dyDescent="0.25">
      <c r="A117" s="25" t="s">
        <v>803</v>
      </c>
      <c r="C117" s="64"/>
      <c r="D117" s="64"/>
      <c r="E117" s="64"/>
      <c r="F117" s="78"/>
      <c r="G117" s="78"/>
      <c r="H117" s="64"/>
      <c r="I117" s="64"/>
      <c r="J117" s="11"/>
    </row>
    <row r="118" spans="1:10" x14ac:dyDescent="0.25">
      <c r="A118" s="25" t="s">
        <v>795</v>
      </c>
      <c r="C118" s="64"/>
      <c r="D118" s="64"/>
      <c r="E118" s="64"/>
      <c r="F118" s="78"/>
      <c r="G118" s="78"/>
      <c r="H118" s="64"/>
      <c r="I118" s="64"/>
      <c r="J118" s="11"/>
    </row>
    <row r="119" spans="1:10" x14ac:dyDescent="0.25">
      <c r="A119" s="11"/>
      <c r="C119" s="64"/>
      <c r="D119" s="64"/>
      <c r="E119" s="64"/>
      <c r="F119" s="78"/>
      <c r="G119" s="78"/>
      <c r="H119" s="64"/>
      <c r="I119" s="64"/>
      <c r="J119" s="11"/>
    </row>
    <row r="120" spans="1:10" x14ac:dyDescent="0.25">
      <c r="A120" s="11"/>
      <c r="C120" s="64"/>
      <c r="D120" s="64"/>
      <c r="E120" s="64"/>
      <c r="F120" s="78"/>
      <c r="G120" s="78"/>
      <c r="H120" s="64"/>
      <c r="I120" s="64"/>
      <c r="J120" s="11"/>
    </row>
    <row r="121" spans="1:10" x14ac:dyDescent="0.25">
      <c r="A121" s="11"/>
      <c r="C121" s="64"/>
      <c r="D121" s="64"/>
      <c r="E121" s="64"/>
      <c r="F121" s="78"/>
      <c r="G121" s="78"/>
      <c r="H121" s="64"/>
      <c r="I121" s="64"/>
      <c r="J121" s="11"/>
    </row>
    <row r="122" spans="1:10" x14ac:dyDescent="0.25">
      <c r="A122" s="11"/>
      <c r="C122" s="64"/>
      <c r="D122" s="64"/>
      <c r="E122" s="64"/>
      <c r="F122" s="78"/>
      <c r="G122" s="78"/>
      <c r="H122" s="64"/>
      <c r="I122" s="64"/>
      <c r="J122" s="11"/>
    </row>
    <row r="123" spans="1:10" x14ac:dyDescent="0.25">
      <c r="A123" s="11"/>
      <c r="C123" s="64"/>
      <c r="D123" s="64"/>
      <c r="E123" s="64"/>
      <c r="F123" s="78"/>
      <c r="G123" s="78"/>
      <c r="H123" s="64"/>
      <c r="I123" s="64"/>
      <c r="J123" s="11"/>
    </row>
    <row r="124" spans="1:10" x14ac:dyDescent="0.25">
      <c r="A124" s="11"/>
      <c r="C124" s="64"/>
      <c r="D124" s="64"/>
      <c r="E124" s="64"/>
      <c r="F124" s="78"/>
      <c r="G124" s="78"/>
      <c r="H124" s="64"/>
      <c r="I124" s="64"/>
      <c r="J124" s="11"/>
    </row>
    <row r="125" spans="1:10" x14ac:dyDescent="0.25">
      <c r="A125" s="11"/>
      <c r="C125" s="64"/>
      <c r="D125" s="64"/>
      <c r="E125" s="64"/>
      <c r="F125" s="78"/>
      <c r="G125" s="78"/>
      <c r="H125" s="64"/>
      <c r="I125" s="64"/>
      <c r="J125" s="11"/>
    </row>
  </sheetData>
  <phoneticPr fontId="5" type="noConversion"/>
  <printOptions horizontalCentered="1"/>
  <pageMargins left="0.75" right="0.75" top="1" bottom="1" header="0.5" footer="0.5"/>
  <pageSetup fitToHeight="3"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Q34"/>
  <sheetViews>
    <sheetView zoomScale="70" workbookViewId="0"/>
  </sheetViews>
  <sheetFormatPr defaultColWidth="9.109375" defaultRowHeight="13.2" x14ac:dyDescent="0.25"/>
  <cols>
    <col min="1" max="1" width="25.6640625" style="11" customWidth="1"/>
    <col min="2" max="2" width="9.33203125" style="11" customWidth="1"/>
    <col min="3" max="3" width="2.6640625" style="11" customWidth="1"/>
    <col min="4" max="4" width="8.6640625" style="11" customWidth="1"/>
    <col min="5" max="5" width="2.6640625" style="11" customWidth="1"/>
    <col min="6" max="6" width="9.33203125" style="11" customWidth="1"/>
    <col min="7" max="7" width="2.6640625" style="11" customWidth="1"/>
    <col min="8" max="8" width="7.44140625" style="11" customWidth="1"/>
    <col min="9" max="9" width="3.33203125" style="11" customWidth="1"/>
    <col min="10" max="10" width="9.33203125" style="11" customWidth="1"/>
    <col min="11" max="11" width="7.44140625" style="11" customWidth="1"/>
    <col min="12" max="16384" width="9.109375" style="11"/>
  </cols>
  <sheetData>
    <row r="1" spans="1:11" ht="15.6" x14ac:dyDescent="0.3">
      <c r="A1" s="158" t="s">
        <v>562</v>
      </c>
      <c r="B1" s="36"/>
      <c r="C1" s="36"/>
      <c r="D1" s="36"/>
      <c r="E1" s="36"/>
    </row>
    <row r="2" spans="1:11" ht="15.6" x14ac:dyDescent="0.3">
      <c r="A2" s="158" t="s">
        <v>787</v>
      </c>
      <c r="B2" s="36"/>
      <c r="C2" s="36"/>
      <c r="D2" s="36"/>
      <c r="E2" s="36"/>
      <c r="H2" s="48"/>
    </row>
    <row r="3" spans="1:11" ht="39.9" customHeight="1" x14ac:dyDescent="0.25">
      <c r="B3" s="160" t="s">
        <v>216</v>
      </c>
      <c r="C3" s="160"/>
      <c r="D3" s="160" t="s">
        <v>257</v>
      </c>
      <c r="E3" s="160"/>
      <c r="F3" s="160" t="s">
        <v>478</v>
      </c>
      <c r="G3" s="160"/>
      <c r="H3" s="160" t="s">
        <v>271</v>
      </c>
      <c r="J3" s="160" t="s">
        <v>273</v>
      </c>
      <c r="K3" s="160" t="s">
        <v>272</v>
      </c>
    </row>
    <row r="4" spans="1:11" x14ac:dyDescent="0.25">
      <c r="A4" s="25" t="s">
        <v>784</v>
      </c>
    </row>
    <row r="5" spans="1:11" x14ac:dyDescent="0.25">
      <c r="A5" s="11" t="s">
        <v>212</v>
      </c>
      <c r="B5" s="40">
        <v>0</v>
      </c>
      <c r="C5" s="285"/>
      <c r="F5" s="40">
        <v>0</v>
      </c>
      <c r="G5" s="285"/>
      <c r="H5" s="162">
        <v>0</v>
      </c>
    </row>
    <row r="6" spans="1:11" x14ac:dyDescent="0.25">
      <c r="A6" s="25" t="s">
        <v>262</v>
      </c>
      <c r="B6" s="40">
        <v>0</v>
      </c>
      <c r="C6" s="285"/>
    </row>
    <row r="7" spans="1:11" x14ac:dyDescent="0.25">
      <c r="A7" s="25" t="s">
        <v>263</v>
      </c>
      <c r="B7" s="53">
        <f>B6*D7</f>
        <v>0</v>
      </c>
      <c r="C7" s="53"/>
      <c r="D7" s="163"/>
      <c r="E7" s="305"/>
    </row>
    <row r="8" spans="1:11" x14ac:dyDescent="0.25">
      <c r="A8" s="25" t="s">
        <v>213</v>
      </c>
      <c r="B8" s="53">
        <f>B5-B7</f>
        <v>0</v>
      </c>
      <c r="C8" s="53"/>
    </row>
    <row r="9" spans="1:11" x14ac:dyDescent="0.25">
      <c r="A9" s="25" t="s">
        <v>214</v>
      </c>
      <c r="B9" s="53">
        <f>B8*D9</f>
        <v>0</v>
      </c>
      <c r="C9" s="53"/>
      <c r="D9" s="163"/>
      <c r="E9" s="305"/>
    </row>
    <row r="10" spans="1:11" x14ac:dyDescent="0.25">
      <c r="A10" s="25" t="s">
        <v>215</v>
      </c>
      <c r="B10" s="53">
        <f>B8-B9</f>
        <v>0</v>
      </c>
      <c r="C10" s="53"/>
      <c r="H10" s="162"/>
    </row>
    <row r="11" spans="1:11" x14ac:dyDescent="0.25">
      <c r="A11" s="25" t="s">
        <v>785</v>
      </c>
      <c r="B11" s="53">
        <v>0</v>
      </c>
      <c r="C11" s="304"/>
      <c r="H11" s="162">
        <v>0</v>
      </c>
      <c r="I11" s="305"/>
      <c r="J11" s="335">
        <v>0.9952967509530305</v>
      </c>
      <c r="K11" s="162">
        <f>H11/J11</f>
        <v>0</v>
      </c>
    </row>
    <row r="12" spans="1:11" x14ac:dyDescent="0.25">
      <c r="A12" s="25" t="s">
        <v>786</v>
      </c>
      <c r="B12" s="53">
        <f>B10-B11</f>
        <v>0</v>
      </c>
      <c r="C12" s="53"/>
      <c r="H12" s="162">
        <v>0</v>
      </c>
      <c r="I12" s="305"/>
      <c r="J12" s="335">
        <v>0.9952967509530305</v>
      </c>
      <c r="K12" s="162">
        <f>H12/J12</f>
        <v>0</v>
      </c>
    </row>
    <row r="13" spans="1:11" ht="8.1" customHeight="1" x14ac:dyDescent="0.25">
      <c r="A13" s="25"/>
      <c r="B13" s="53"/>
      <c r="C13" s="53"/>
      <c r="H13" s="162"/>
    </row>
    <row r="14" spans="1:11" ht="8.1" customHeight="1" x14ac:dyDescent="0.25">
      <c r="A14" s="25"/>
      <c r="B14" s="53"/>
      <c r="C14" s="53"/>
      <c r="H14" s="162"/>
    </row>
    <row r="15" spans="1:11" ht="8.1" customHeight="1" x14ac:dyDescent="0.25"/>
    <row r="16" spans="1:11" x14ac:dyDescent="0.25">
      <c r="A16" s="25" t="s">
        <v>227</v>
      </c>
    </row>
    <row r="17" spans="1:17" x14ac:dyDescent="0.25">
      <c r="A17" s="11" t="s">
        <v>212</v>
      </c>
      <c r="B17" s="40">
        <v>352828.13099999999</v>
      </c>
      <c r="C17" s="285" t="s">
        <v>236</v>
      </c>
      <c r="F17" s="40">
        <v>2973.7303999999999</v>
      </c>
      <c r="G17" s="285" t="s">
        <v>236</v>
      </c>
      <c r="H17" s="162">
        <f>B17/F17</f>
        <v>118.6483250129198</v>
      </c>
    </row>
    <row r="18" spans="1:17" x14ac:dyDescent="0.25">
      <c r="A18" s="25" t="s">
        <v>262</v>
      </c>
      <c r="B18" s="40">
        <v>43033.922558284707</v>
      </c>
      <c r="C18" s="285" t="s">
        <v>236</v>
      </c>
    </row>
    <row r="19" spans="1:17" x14ac:dyDescent="0.25">
      <c r="A19" s="25" t="s">
        <v>263</v>
      </c>
      <c r="B19" s="53">
        <f>B18*D19</f>
        <v>633.8812567492447</v>
      </c>
      <c r="C19" s="53"/>
      <c r="D19" s="163">
        <v>1.4729804281511228E-2</v>
      </c>
      <c r="E19" s="305" t="s">
        <v>239</v>
      </c>
    </row>
    <row r="20" spans="1:17" x14ac:dyDescent="0.25">
      <c r="A20" s="25" t="s">
        <v>213</v>
      </c>
      <c r="B20" s="53">
        <f>B17-B19</f>
        <v>352194.24974325072</v>
      </c>
      <c r="C20" s="53"/>
    </row>
    <row r="21" spans="1:17" x14ac:dyDescent="0.25">
      <c r="A21" s="25" t="s">
        <v>214</v>
      </c>
      <c r="B21" s="53">
        <f>B20*D21</f>
        <v>3904.6605322048295</v>
      </c>
      <c r="C21" s="53"/>
      <c r="D21" s="163">
        <v>1.1086667471292683E-2</v>
      </c>
      <c r="E21" s="305" t="s">
        <v>240</v>
      </c>
    </row>
    <row r="22" spans="1:17" x14ac:dyDescent="0.25">
      <c r="A22" s="25" t="s">
        <v>215</v>
      </c>
      <c r="B22" s="53">
        <f>B20-B21</f>
        <v>348289.58921104588</v>
      </c>
      <c r="C22" s="53"/>
      <c r="H22" s="162"/>
    </row>
    <row r="23" spans="1:17" x14ac:dyDescent="0.25">
      <c r="A23" s="25" t="s">
        <v>785</v>
      </c>
      <c r="B23" s="53">
        <v>142789.06047166753</v>
      </c>
      <c r="C23" s="304" t="s">
        <v>238</v>
      </c>
      <c r="H23" s="162">
        <f>H24/2</f>
        <v>106.57787103941583</v>
      </c>
      <c r="I23" s="305" t="s">
        <v>241</v>
      </c>
      <c r="J23" s="335">
        <v>0.9952967509530305</v>
      </c>
      <c r="K23" s="162">
        <f>H23/J23</f>
        <v>107.08150201170042</v>
      </c>
    </row>
    <row r="24" spans="1:17" x14ac:dyDescent="0.25">
      <c r="A24" s="25" t="s">
        <v>786</v>
      </c>
      <c r="B24" s="53">
        <f>B22-B23</f>
        <v>205500.52873937835</v>
      </c>
      <c r="C24" s="53"/>
      <c r="H24" s="162">
        <f>(3*B23+B24)/F17</f>
        <v>213.15574207883165</v>
      </c>
      <c r="I24" s="305" t="s">
        <v>242</v>
      </c>
      <c r="J24" s="335">
        <v>0.9952967509530305</v>
      </c>
      <c r="K24" s="162">
        <f>H24/J24</f>
        <v>214.16300402340084</v>
      </c>
    </row>
    <row r="25" spans="1:17" x14ac:dyDescent="0.25">
      <c r="A25" s="141"/>
      <c r="B25" s="141"/>
      <c r="C25" s="141"/>
      <c r="D25" s="141"/>
      <c r="E25" s="141"/>
    </row>
    <row r="26" spans="1:17" x14ac:dyDescent="0.25">
      <c r="A26" s="24" t="s">
        <v>235</v>
      </c>
    </row>
    <row r="27" spans="1:17" x14ac:dyDescent="0.25">
      <c r="A27" s="25" t="s">
        <v>804</v>
      </c>
    </row>
    <row r="28" spans="1:17" x14ac:dyDescent="0.25">
      <c r="A28" s="25" t="s">
        <v>805</v>
      </c>
    </row>
    <row r="29" spans="1:17" ht="24.9" customHeight="1" x14ac:dyDescent="0.25">
      <c r="A29" s="611" t="s">
        <v>806</v>
      </c>
      <c r="B29" s="612"/>
      <c r="C29" s="612"/>
      <c r="D29" s="612"/>
      <c r="E29" s="612"/>
      <c r="F29" s="612"/>
      <c r="M29" s="140"/>
      <c r="N29" s="140"/>
      <c r="O29" s="140"/>
      <c r="P29" s="140"/>
      <c r="Q29" s="140"/>
    </row>
    <row r="30" spans="1:17" ht="24.9" customHeight="1" x14ac:dyDescent="0.25">
      <c r="A30" s="611" t="s">
        <v>807</v>
      </c>
      <c r="B30" s="612"/>
      <c r="C30" s="612"/>
      <c r="D30" s="612"/>
      <c r="E30" s="612"/>
      <c r="F30" s="612"/>
    </row>
    <row r="31" spans="1:17" ht="24.9" customHeight="1" x14ac:dyDescent="0.25">
      <c r="A31" s="611" t="s">
        <v>264</v>
      </c>
      <c r="B31" s="612"/>
      <c r="C31" s="612"/>
      <c r="D31" s="612"/>
      <c r="E31" s="612"/>
      <c r="F31" s="612"/>
    </row>
    <row r="32" spans="1:17" ht="24.9" customHeight="1" x14ac:dyDescent="0.25">
      <c r="A32" s="611" t="s">
        <v>265</v>
      </c>
      <c r="B32" s="612"/>
      <c r="C32" s="612"/>
      <c r="D32" s="612"/>
      <c r="E32" s="612"/>
      <c r="F32" s="612"/>
    </row>
    <row r="33" spans="1:1" x14ac:dyDescent="0.25">
      <c r="A33" s="12" t="s">
        <v>0</v>
      </c>
    </row>
    <row r="34" spans="1:1" x14ac:dyDescent="0.25">
      <c r="A34" s="12" t="s">
        <v>1</v>
      </c>
    </row>
  </sheetData>
  <mergeCells count="4">
    <mergeCell ref="A29:F29"/>
    <mergeCell ref="A30:F30"/>
    <mergeCell ref="A31:F31"/>
    <mergeCell ref="A32:F32"/>
  </mergeCells>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K22"/>
  <sheetViews>
    <sheetView zoomScale="70" workbookViewId="0"/>
  </sheetViews>
  <sheetFormatPr defaultRowHeight="13.2" x14ac:dyDescent="0.25"/>
  <cols>
    <col min="1" max="1" width="12.44140625" customWidth="1"/>
    <col min="2" max="2" width="15.88671875" customWidth="1"/>
    <col min="3" max="5" width="11.6640625" customWidth="1"/>
    <col min="6" max="6" width="3.6640625" customWidth="1"/>
    <col min="7" max="7" width="11.6640625" customWidth="1"/>
    <col min="8" max="8" width="3.6640625" customWidth="1"/>
    <col min="9" max="10" width="11.6640625" customWidth="1"/>
  </cols>
  <sheetData>
    <row r="1" spans="1:11" ht="15.6" x14ac:dyDescent="0.3">
      <c r="A1" s="443" t="s">
        <v>54</v>
      </c>
      <c r="B1" s="158"/>
    </row>
    <row r="2" spans="1:11" ht="15.6" x14ac:dyDescent="0.3">
      <c r="A2" s="158" t="s">
        <v>787</v>
      </c>
      <c r="B2" s="443"/>
    </row>
    <row r="3" spans="1:11" ht="26.4" x14ac:dyDescent="0.25">
      <c r="A3" s="445" t="s">
        <v>399</v>
      </c>
      <c r="B3" s="444" t="s">
        <v>348</v>
      </c>
      <c r="C3" s="168" t="s">
        <v>250</v>
      </c>
      <c r="D3" s="189" t="s">
        <v>249</v>
      </c>
      <c r="E3" s="8" t="s">
        <v>104</v>
      </c>
      <c r="F3" s="8"/>
      <c r="G3" s="199" t="s">
        <v>246</v>
      </c>
      <c r="H3" s="87"/>
      <c r="I3" s="160" t="s">
        <v>218</v>
      </c>
      <c r="J3" s="41" t="s">
        <v>133</v>
      </c>
      <c r="K3" s="11"/>
    </row>
    <row r="4" spans="1:11" x14ac:dyDescent="0.25">
      <c r="A4" s="12" t="s">
        <v>2</v>
      </c>
      <c r="B4" t="s">
        <v>278</v>
      </c>
      <c r="C4" s="6">
        <f>SUM('Table 3.24-CIOSS Detail'!E4,'Table 3.24-CIOSS Detail'!E19)</f>
        <v>613639.96638916107</v>
      </c>
      <c r="D4" s="42">
        <f>SUM('Table 3.24-CIOSS Detail'!F4,'Table 3.24-CIOSS Detail'!F19)</f>
        <v>14469.964521973523</v>
      </c>
      <c r="E4" s="83">
        <f>IF(ISERROR(D4/C4),"n/a",D4/C4)</f>
        <v>2.358054447972004E-2</v>
      </c>
      <c r="G4" s="29">
        <v>2.5777203592126572</v>
      </c>
      <c r="I4" s="42">
        <f>D4*G4</f>
        <v>37299.522145375995</v>
      </c>
      <c r="J4" s="83">
        <f>IF(ISERROR(I4/C4),"n/a",I4/C4)</f>
        <v>6.0784049586693985E-2</v>
      </c>
    </row>
    <row r="5" spans="1:11" x14ac:dyDescent="0.25">
      <c r="B5" s="12" t="s">
        <v>431</v>
      </c>
      <c r="C5" s="6">
        <f>SUM('Table 3.24-CIOSS Detail'!E5,'Table 3.24-CIOSS Detail'!E12,'Table 3.24-CIOSS Detail'!E20,'Table 3.24-CIOSS Detail'!E27,'Table 3.24-CIOSS Detail'!E34)</f>
        <v>1155996.2941134323</v>
      </c>
      <c r="D5" s="42">
        <f>SUM('Table 3.24-CIOSS Detail'!F5,'Table 3.24-CIOSS Detail'!F12,'Table 3.24-CIOSS Detail'!F20,'Table 3.24-CIOSS Detail'!F27,'Table 3.24-CIOSS Detail'!F34)</f>
        <v>-4221.3002976718235</v>
      </c>
      <c r="E5" s="83">
        <f>IF(ISERROR(D5/C5),"n/a",D5/C5)</f>
        <v>-3.6516555625373034E-3</v>
      </c>
      <c r="G5" s="29">
        <v>2.5777203592126572</v>
      </c>
      <c r="I5" s="42">
        <f>D5*G5</f>
        <v>-10881.331719659109</v>
      </c>
      <c r="J5" s="83">
        <f>IF(ISERROR(I5/C5),"n/a",I5/C5)</f>
        <v>-9.4129468883845553E-3</v>
      </c>
    </row>
    <row r="6" spans="1:11" x14ac:dyDescent="0.25">
      <c r="B6" t="s">
        <v>279</v>
      </c>
      <c r="C6" s="6">
        <f>SUM('Table 3.24-CIOSS Detail'!E6,'Table 3.24-CIOSS Detail'!E13,'Table 3.24-CIOSS Detail'!E21,'Table 3.24-CIOSS Detail'!E28)</f>
        <v>757643.89895647462</v>
      </c>
      <c r="D6" s="42">
        <f>SUM('Table 3.24-CIOSS Detail'!F6,'Table 3.24-CIOSS Detail'!F13,'Table 3.24-CIOSS Detail'!F21,'Table 3.24-CIOSS Detail'!F28)</f>
        <v>18129.615441153215</v>
      </c>
      <c r="E6" s="83">
        <f>IF(ISERROR(D6/C6),"n/a",D6/C6)</f>
        <v>2.392894005498318E-2</v>
      </c>
      <c r="G6" s="29">
        <v>2.5777203592126572</v>
      </c>
      <c r="I6" s="42">
        <f>D6*G6</f>
        <v>46733.078827356803</v>
      </c>
      <c r="J6" s="83">
        <f>IF(ISERROR(I6/C6),"n/a",I6/C6)</f>
        <v>6.1682115954109384E-2</v>
      </c>
    </row>
    <row r="7" spans="1:11" x14ac:dyDescent="0.25">
      <c r="C7" s="6"/>
      <c r="D7" s="42"/>
    </row>
    <row r="8" spans="1:11" x14ac:dyDescent="0.25">
      <c r="A8" s="12" t="s">
        <v>3</v>
      </c>
      <c r="B8" t="s">
        <v>278</v>
      </c>
      <c r="C8" s="6">
        <f>SUM('Table 3.24-CIOSS Detail'!E8,'Table 3.24-CIOSS Detail'!E23)</f>
        <v>93390.019610839285</v>
      </c>
      <c r="D8" s="42">
        <f>SUM('Table 3.24-CIOSS Detail'!F8,'Table 3.24-CIOSS Detail'!F23)</f>
        <v>2202.1875113953229</v>
      </c>
      <c r="E8" s="83">
        <f>IF(ISERROR(D8/C8),"n/a",D8/C8)</f>
        <v>2.3580544479720043E-2</v>
      </c>
      <c r="G8" s="29">
        <v>2.5777203592126572</v>
      </c>
      <c r="I8" s="42">
        <f>D8*G8</f>
        <v>5676.6235829275793</v>
      </c>
      <c r="J8" s="83">
        <f>IF(ISERROR(I8/C8),"n/a",I8/C8)</f>
        <v>6.0784049586693992E-2</v>
      </c>
    </row>
    <row r="9" spans="1:11" x14ac:dyDescent="0.25">
      <c r="B9" s="12" t="s">
        <v>373</v>
      </c>
      <c r="C9" s="6">
        <f>SUM('Table 3.24-CIOSS Detail'!E9,'Table 3.24-CIOSS Detail'!E24)</f>
        <v>5777.7760938345782</v>
      </c>
      <c r="D9" s="42">
        <f>SUM('Table 3.24-CIOSS Detail'!F9,'Table 3.24-CIOSS Detail'!F24)</f>
        <v>136.2431061745294</v>
      </c>
      <c r="E9" s="83">
        <f>IF(ISERROR(D9/C9),"n/a",D9/C9)</f>
        <v>2.3580544479720043E-2</v>
      </c>
      <c r="G9" s="29">
        <v>2.5777203592126572</v>
      </c>
      <c r="I9" s="42">
        <f>D9*G9</f>
        <v>351.19662858845612</v>
      </c>
      <c r="J9" s="83">
        <f>IF(ISERROR(I9/C9),"n/a",I9/C9)</f>
        <v>6.0784049586693992E-2</v>
      </c>
    </row>
    <row r="10" spans="1:11" x14ac:dyDescent="0.25">
      <c r="B10" t="s">
        <v>279</v>
      </c>
      <c r="C10" s="6">
        <f>SUM('Table 3.24-CIOSS Detail'!E10,'Table 3.24-CIOSS Detail'!E25)</f>
        <v>137974.83629532612</v>
      </c>
      <c r="D10" s="42">
        <f>SUM('Table 3.24-CIOSS Detail'!F10,'Table 3.24-CIOSS Detail'!F25)</f>
        <v>3253.5217643440283</v>
      </c>
      <c r="E10" s="83">
        <f>IF(ISERROR(D10/C10),"n/a",D10/C10)</f>
        <v>2.3580544479720036E-2</v>
      </c>
      <c r="G10" s="29">
        <v>2.5777203592126572</v>
      </c>
      <c r="I10" s="42">
        <f>D10*G10</f>
        <v>8386.6692910910861</v>
      </c>
      <c r="J10" s="83">
        <f>IF(ISERROR(I10/C10),"n/a",I10/C10)</f>
        <v>6.0784049586693971E-2</v>
      </c>
    </row>
    <row r="11" spans="1:11" x14ac:dyDescent="0.25">
      <c r="C11" s="6"/>
      <c r="D11" s="42"/>
    </row>
    <row r="12" spans="1:11" x14ac:dyDescent="0.25">
      <c r="A12" s="12" t="s">
        <v>4</v>
      </c>
      <c r="B12" s="12" t="s">
        <v>373</v>
      </c>
      <c r="C12" s="6">
        <f>SUM('Table 3.24-CIOSS Detail'!E15,'Table 3.24-CIOSS Detail'!E30,'Table 3.24-CIOSS Detail'!E36)</f>
        <v>92553.724792733454</v>
      </c>
      <c r="D12" s="42">
        <f>SUM('Table 3.24-CIOSS Detail'!F15,'Table 3.24-CIOSS Detail'!F30,'Table 3.24-CIOSS Detail'!F36)</f>
        <v>1175.320146829732</v>
      </c>
      <c r="E12" s="83">
        <f>IF(ISERROR(D12/C12),"n/a",D12/C12)</f>
        <v>1.2698788184503281E-2</v>
      </c>
      <c r="G12" s="29">
        <v>2.5777203592126572</v>
      </c>
      <c r="I12" s="42">
        <f>D12*G12</f>
        <v>3029.64667107581</v>
      </c>
      <c r="J12" s="83">
        <f>IF(ISERROR(I12/C12),"n/a",I12/C12)</f>
        <v>3.2733924840523246E-2</v>
      </c>
    </row>
    <row r="13" spans="1:11" x14ac:dyDescent="0.25">
      <c r="A13" s="283"/>
      <c r="B13" s="325" t="s">
        <v>279</v>
      </c>
      <c r="C13" s="10">
        <f>SUM('Table 3.24-CIOSS Detail'!E16,'Table 3.24-CIOSS Detail'!E31,'Table 3.24-CIOSS Detail'!E37)</f>
        <v>290832.59974819934</v>
      </c>
      <c r="D13" s="174">
        <f>SUM('Table 3.24-CIOSS Detail'!F16,'Table 3.24-CIOSS Detail'!F31,'Table 3.24-CIOSS Detail'!F37)</f>
        <v>3797.8291592857804</v>
      </c>
      <c r="E13" s="172">
        <f>IF(ISERROR(D13/C13),"n/a",D13/C13)</f>
        <v>1.3058471308147409E-2</v>
      </c>
      <c r="F13" s="283"/>
      <c r="G13" s="446">
        <v>2.5777203592126572</v>
      </c>
      <c r="H13" s="283"/>
      <c r="I13" s="174">
        <f>D13*G13</f>
        <v>9789.741544702445</v>
      </c>
      <c r="J13" s="172">
        <f>IF(ISERROR(I13/C13),"n/a",I13/C13)</f>
        <v>3.3661087351205911E-2</v>
      </c>
    </row>
    <row r="14" spans="1:11" x14ac:dyDescent="0.25">
      <c r="B14" s="14" t="s">
        <v>102</v>
      </c>
      <c r="C14" s="6">
        <f>SUM(C4:C13)</f>
        <v>3147809.1160000009</v>
      </c>
      <c r="D14" s="42">
        <f>SUM(D4:D13)</f>
        <v>38943.381353484307</v>
      </c>
      <c r="E14" s="83">
        <f>IF(ISERROR(D14/C14),"n/a",D14/C14)</f>
        <v>1.2371582875066652E-2</v>
      </c>
      <c r="I14" s="42">
        <f>SUM(I4:I13)</f>
        <v>100385.14697145906</v>
      </c>
      <c r="J14" s="83">
        <f>IF(ISERROR(I14/C14),"n/a",I14/C14)</f>
        <v>3.1890481052745966E-2</v>
      </c>
    </row>
    <row r="15" spans="1:11" hidden="1" x14ac:dyDescent="0.25">
      <c r="B15" s="14"/>
      <c r="C15" s="6"/>
      <c r="D15" s="42"/>
      <c r="E15" s="83"/>
      <c r="I15" s="42"/>
      <c r="J15" s="83"/>
    </row>
    <row r="16" spans="1:11" hidden="1" x14ac:dyDescent="0.25">
      <c r="B16" s="14" t="s">
        <v>191</v>
      </c>
      <c r="C16" s="143">
        <f>C14-'Table 3.24-CIOSS Detail'!E40</f>
        <v>0</v>
      </c>
      <c r="D16" s="143">
        <f>D14-'Table 3.24-CIOSS Detail'!F40</f>
        <v>0</v>
      </c>
      <c r="E16" s="83"/>
      <c r="H16" s="14" t="s">
        <v>191</v>
      </c>
      <c r="I16" s="143">
        <f>I14-'Table 3.24-CIOSS Detail'!K40</f>
        <v>0</v>
      </c>
      <c r="J16" s="143">
        <f>J14-'Table 3.24-CIOSS Detail'!L40</f>
        <v>0</v>
      </c>
    </row>
    <row r="17" spans="1:10" x14ac:dyDescent="0.25">
      <c r="A17" s="283"/>
      <c r="B17" s="293"/>
      <c r="C17" s="6"/>
      <c r="D17" s="42"/>
      <c r="E17" s="83"/>
      <c r="I17" s="42"/>
      <c r="J17" s="83"/>
    </row>
    <row r="18" spans="1:10" x14ac:dyDescent="0.25">
      <c r="A18" s="11" t="s">
        <v>235</v>
      </c>
      <c r="B18" s="64"/>
      <c r="C18" s="64"/>
    </row>
    <row r="19" spans="1:10" x14ac:dyDescent="0.25">
      <c r="A19" s="25" t="s">
        <v>654</v>
      </c>
      <c r="B19" s="64"/>
      <c r="C19" s="64"/>
    </row>
    <row r="20" spans="1:10" x14ac:dyDescent="0.25">
      <c r="A20" s="25" t="s">
        <v>795</v>
      </c>
    </row>
    <row r="21" spans="1:10" x14ac:dyDescent="0.25">
      <c r="A21" s="12" t="s">
        <v>21</v>
      </c>
    </row>
    <row r="22" spans="1:10" x14ac:dyDescent="0.25">
      <c r="A22" s="12" t="s">
        <v>5</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M57"/>
  <sheetViews>
    <sheetView zoomScale="70" workbookViewId="0"/>
  </sheetViews>
  <sheetFormatPr defaultRowHeight="13.2" x14ac:dyDescent="0.25"/>
  <cols>
    <col min="1" max="1" width="27.109375" customWidth="1"/>
    <col min="2" max="2" width="9.6640625" customWidth="1"/>
    <col min="3" max="3" width="25.6640625" customWidth="1"/>
    <col min="4" max="4" width="15.88671875" customWidth="1"/>
    <col min="5" max="7" width="11.6640625" customWidth="1"/>
    <col min="8" max="8" width="3.6640625" customWidth="1"/>
    <col min="9" max="9" width="11.6640625" customWidth="1"/>
    <col min="10" max="10" width="3.6640625" customWidth="1"/>
    <col min="11" max="12" width="11.6640625" customWidth="1"/>
  </cols>
  <sheetData>
    <row r="1" spans="1:13" ht="15.6" x14ac:dyDescent="0.3">
      <c r="A1" s="158" t="s">
        <v>563</v>
      </c>
      <c r="B1" s="158"/>
      <c r="C1" s="158"/>
      <c r="D1" s="158"/>
    </row>
    <row r="2" spans="1:13" ht="15.6" x14ac:dyDescent="0.3">
      <c r="A2" s="158" t="s">
        <v>787</v>
      </c>
      <c r="B2" s="443"/>
      <c r="C2" s="443"/>
      <c r="D2" s="443"/>
    </row>
    <row r="3" spans="1:13" ht="26.4" x14ac:dyDescent="0.25">
      <c r="A3" s="444" t="s">
        <v>396</v>
      </c>
      <c r="B3" s="445" t="s">
        <v>399</v>
      </c>
      <c r="C3" s="444" t="s">
        <v>397</v>
      </c>
      <c r="D3" s="444" t="s">
        <v>348</v>
      </c>
      <c r="E3" s="168" t="s">
        <v>402</v>
      </c>
      <c r="F3" s="189" t="s">
        <v>403</v>
      </c>
      <c r="G3" s="8" t="s">
        <v>104</v>
      </c>
      <c r="H3" s="8"/>
      <c r="I3" s="199" t="s">
        <v>404</v>
      </c>
      <c r="J3" s="87"/>
      <c r="K3" s="160" t="s">
        <v>218</v>
      </c>
      <c r="L3" s="41" t="s">
        <v>133</v>
      </c>
      <c r="M3" s="11"/>
    </row>
    <row r="4" spans="1:13" x14ac:dyDescent="0.25">
      <c r="A4" s="25" t="s">
        <v>410</v>
      </c>
      <c r="B4" t="s">
        <v>407</v>
      </c>
      <c r="C4" t="s">
        <v>398</v>
      </c>
      <c r="D4" t="s">
        <v>278</v>
      </c>
      <c r="E4" s="6">
        <v>576821.56840581133</v>
      </c>
      <c r="F4" s="42">
        <v>13806.413251937154</v>
      </c>
      <c r="G4" s="83">
        <f>IF(ISERROR(F4/E4),"n/a",F4/E4)</f>
        <v>2.3935327678704148E-2</v>
      </c>
      <c r="I4" s="29">
        <v>2.5777203592126572</v>
      </c>
      <c r="K4" s="42">
        <f>F4*I4</f>
        <v>35589.072527221833</v>
      </c>
      <c r="L4" s="83">
        <f>IF(ISERROR(K4/E4),"n/a",K4/E4)</f>
        <v>6.1698581461821916E-2</v>
      </c>
    </row>
    <row r="5" spans="1:13" x14ac:dyDescent="0.25">
      <c r="D5" t="s">
        <v>373</v>
      </c>
      <c r="E5" s="6">
        <v>217061.83266187483</v>
      </c>
      <c r="F5" s="42">
        <v>5195.4460913020202</v>
      </c>
      <c r="G5" s="83">
        <f>IF(ISERROR(F5/E5),"n/a",F5/E5)</f>
        <v>2.3935327678704148E-2</v>
      </c>
      <c r="I5" s="29">
        <v>2.5777203592126572</v>
      </c>
      <c r="K5" s="42">
        <f>F5*I5</f>
        <v>13392.40716474104</v>
      </c>
      <c r="L5" s="83">
        <f>IF(ISERROR(K5/E5),"n/a",K5/E5)</f>
        <v>6.1698581461821909E-2</v>
      </c>
    </row>
    <row r="6" spans="1:13" x14ac:dyDescent="0.25">
      <c r="D6" t="s">
        <v>279</v>
      </c>
      <c r="E6" s="6">
        <v>12822.398314192427</v>
      </c>
      <c r="F6" s="42">
        <v>306.90830527705936</v>
      </c>
      <c r="G6" s="83">
        <f>IF(ISERROR(F6/E6),"n/a",F6/E6)</f>
        <v>2.3935327678704144E-2</v>
      </c>
      <c r="I6" s="29">
        <v>2.5777203592126572</v>
      </c>
      <c r="K6" s="42">
        <f>F6*I6</f>
        <v>791.12378692412926</v>
      </c>
      <c r="L6" s="83">
        <f>IF(ISERROR(K6/E6),"n/a",K6/E6)</f>
        <v>6.1698581461821896E-2</v>
      </c>
    </row>
    <row r="7" spans="1:13" x14ac:dyDescent="0.25">
      <c r="E7" s="6"/>
      <c r="F7" s="6"/>
    </row>
    <row r="8" spans="1:13" x14ac:dyDescent="0.25">
      <c r="B8" s="12" t="s">
        <v>476</v>
      </c>
      <c r="C8" t="s">
        <v>398</v>
      </c>
      <c r="D8" t="s">
        <v>278</v>
      </c>
      <c r="E8" s="6">
        <v>87786.618434188931</v>
      </c>
      <c r="F8" s="42">
        <v>2101.2014780276818</v>
      </c>
      <c r="G8" s="83">
        <f>IF(ISERROR(F8/E8),"n/a",F8/E8)</f>
        <v>2.3935327678704144E-2</v>
      </c>
      <c r="I8" s="29">
        <v>2.5777203592126572</v>
      </c>
      <c r="K8" s="42">
        <f>F8*I8</f>
        <v>5416.3098287196817</v>
      </c>
      <c r="L8" s="83">
        <f>IF(ISERROR(K8/E8),"n/a",K8/E8)</f>
        <v>6.1698581461821896E-2</v>
      </c>
    </row>
    <row r="9" spans="1:13" x14ac:dyDescent="0.25">
      <c r="D9" t="s">
        <v>373</v>
      </c>
      <c r="E9" s="6">
        <v>5431.1095282045035</v>
      </c>
      <c r="F9" s="42">
        <v>129.99538621650709</v>
      </c>
      <c r="G9" s="83">
        <f>IF(ISERROR(F9/E9),"n/a",F9/E9)</f>
        <v>2.3935327678704148E-2</v>
      </c>
      <c r="I9" s="29">
        <v>2.5777203592126572</v>
      </c>
      <c r="K9" s="42">
        <f>F9*I9</f>
        <v>335.09175365400273</v>
      </c>
      <c r="L9" s="83">
        <f>IF(ISERROR(K9/E9),"n/a",K9/E9)</f>
        <v>6.1698581461821909E-2</v>
      </c>
    </row>
    <row r="10" spans="1:13" x14ac:dyDescent="0.25">
      <c r="D10" t="s">
        <v>279</v>
      </c>
      <c r="E10" s="6">
        <v>129696.34611760656</v>
      </c>
      <c r="F10" s="42">
        <v>3104.3245430555407</v>
      </c>
      <c r="G10" s="83">
        <f>IF(ISERROR(F10/E10),"n/a",F10/E10)</f>
        <v>2.3935327678704141E-2</v>
      </c>
      <c r="I10" s="29">
        <v>2.5777203592126572</v>
      </c>
      <c r="K10" s="42">
        <f>F10*I10</f>
        <v>8002.0805762377968</v>
      </c>
      <c r="L10" s="83">
        <f>IF(ISERROR(K10/E10),"n/a",K10/E10)</f>
        <v>6.1698581461821896E-2</v>
      </c>
    </row>
    <row r="11" spans="1:13" x14ac:dyDescent="0.25">
      <c r="E11" s="6"/>
      <c r="F11" s="27"/>
    </row>
    <row r="12" spans="1:13" x14ac:dyDescent="0.25">
      <c r="B12" t="s">
        <v>407</v>
      </c>
      <c r="C12" s="12" t="s">
        <v>6</v>
      </c>
      <c r="D12" t="s">
        <v>373</v>
      </c>
      <c r="E12" s="6">
        <v>22960.232083355149</v>
      </c>
      <c r="F12" s="42">
        <v>549.56067849420162</v>
      </c>
      <c r="G12" s="83">
        <f>IF(ISERROR(F12/E12),"n/a",F12/E12)</f>
        <v>2.3935327678704155E-2</v>
      </c>
      <c r="I12" s="29">
        <v>2.5777203592126572</v>
      </c>
      <c r="K12" s="42">
        <f>F12*I12</f>
        <v>1416.613749577225</v>
      </c>
      <c r="L12" s="83">
        <f>IF(ISERROR(K12/E12),"n/a",K12/E12)</f>
        <v>6.1698581461821923E-2</v>
      </c>
    </row>
    <row r="13" spans="1:13" x14ac:dyDescent="0.25">
      <c r="C13" s="12" t="s">
        <v>655</v>
      </c>
      <c r="D13" t="s">
        <v>279</v>
      </c>
      <c r="E13" s="6">
        <v>744003.04968605714</v>
      </c>
      <c r="F13" s="42">
        <v>17807.956788190979</v>
      </c>
      <c r="G13" s="83">
        <f>IF(ISERROR(F13/E13),"n/a",F13/E13)</f>
        <v>2.3935327678704144E-2</v>
      </c>
      <c r="I13" s="29">
        <v>2.5777203592126572</v>
      </c>
      <c r="K13" s="42">
        <f>F13*I13</f>
        <v>45903.932768899125</v>
      </c>
      <c r="L13" s="83">
        <f>IF(ISERROR(K13/E13),"n/a",K13/E13)</f>
        <v>6.1698581461821903E-2</v>
      </c>
    </row>
    <row r="14" spans="1:13" x14ac:dyDescent="0.25">
      <c r="E14" s="6"/>
    </row>
    <row r="15" spans="1:13" x14ac:dyDescent="0.25">
      <c r="B15" t="s">
        <v>400</v>
      </c>
      <c r="C15" s="12" t="s">
        <v>6</v>
      </c>
      <c r="D15" t="s">
        <v>373</v>
      </c>
      <c r="E15" s="6">
        <v>3808.9880768091007</v>
      </c>
      <c r="F15" s="42">
        <v>91.169377742702963</v>
      </c>
      <c r="G15" s="83">
        <f>IF(ISERROR(F15/E15),"n/a",F15/E15)</f>
        <v>2.3935327678704151E-2</v>
      </c>
      <c r="I15" s="29">
        <v>2.5777203592126572</v>
      </c>
      <c r="K15" s="42">
        <f>F15*I15</f>
        <v>235.00916114411473</v>
      </c>
      <c r="L15" s="83">
        <f>IF(ISERROR(K15/E15),"n/a",K15/E15)</f>
        <v>6.1698581461821923E-2</v>
      </c>
    </row>
    <row r="16" spans="1:13" x14ac:dyDescent="0.25">
      <c r="B16" s="283"/>
      <c r="C16" s="325" t="s">
        <v>6</v>
      </c>
      <c r="D16" s="283" t="s">
        <v>279</v>
      </c>
      <c r="E16" s="10">
        <v>20609.732538860237</v>
      </c>
      <c r="F16" s="174">
        <v>493.30070168807089</v>
      </c>
      <c r="G16" s="172">
        <f>IF(ISERROR(F16/E16),"n/a",F16/E16)</f>
        <v>2.3935327678704144E-2</v>
      </c>
      <c r="H16" s="283"/>
      <c r="I16" s="446">
        <v>2.5777203592126572</v>
      </c>
      <c r="J16" s="283"/>
      <c r="K16" s="174">
        <f>F16*I16</f>
        <v>1271.59126195523</v>
      </c>
      <c r="L16" s="172">
        <f>IF(ISERROR(K16/E16),"n/a",K16/E16)</f>
        <v>6.1698581461821909E-2</v>
      </c>
    </row>
    <row r="17" spans="1:12" x14ac:dyDescent="0.25">
      <c r="D17" s="447" t="s">
        <v>406</v>
      </c>
      <c r="E17" s="6">
        <f>SUM(E4:E16)</f>
        <v>1821001.8758469603</v>
      </c>
      <c r="F17" s="42">
        <f>SUM(F4:F16)</f>
        <v>43586.276601931917</v>
      </c>
      <c r="G17" s="83">
        <f>IF(ISERROR(F17/E17),"n/a",F17/E17)</f>
        <v>2.3935327678704144E-2</v>
      </c>
      <c r="K17" s="42">
        <f>SUM(K4:K16)</f>
        <v>112353.23257907417</v>
      </c>
      <c r="L17" s="83">
        <f>IF(ISERROR(K17/E17),"n/a",K17/E17)</f>
        <v>6.1698581461821903E-2</v>
      </c>
    </row>
    <row r="19" spans="1:12" x14ac:dyDescent="0.25">
      <c r="A19" s="25" t="s">
        <v>411</v>
      </c>
      <c r="B19" t="s">
        <v>407</v>
      </c>
      <c r="C19" t="s">
        <v>398</v>
      </c>
      <c r="D19" t="s">
        <v>278</v>
      </c>
      <c r="E19" s="6">
        <v>36818.397983349692</v>
      </c>
      <c r="F19" s="42">
        <v>663.55127003636949</v>
      </c>
      <c r="G19" s="83">
        <f>IF(ISERROR(F19/E19),"n/a",F19/E19)</f>
        <v>1.8022274362302398E-2</v>
      </c>
      <c r="I19" s="29">
        <v>2.5777203592126572</v>
      </c>
      <c r="K19" s="42">
        <f>F19*I19</f>
        <v>1710.4496181541651</v>
      </c>
      <c r="L19" s="83">
        <f>IF(ISERROR(K19/E19),"n/a",K19/E19)</f>
        <v>4.64563835430232E-2</v>
      </c>
    </row>
    <row r="20" spans="1:12" x14ac:dyDescent="0.25">
      <c r="D20" t="s">
        <v>373</v>
      </c>
      <c r="E20" s="6">
        <v>13855.010595438833</v>
      </c>
      <c r="F20" s="42">
        <v>249.69880224360531</v>
      </c>
      <c r="G20" s="83">
        <f>IF(ISERROR(F20/E20),"n/a",F20/E20)</f>
        <v>1.8022274362302394E-2</v>
      </c>
      <c r="I20" s="29">
        <v>2.5777203592126572</v>
      </c>
      <c r="K20" s="42">
        <f>F20*I20</f>
        <v>643.65368621435653</v>
      </c>
      <c r="L20" s="83">
        <f>IF(ISERROR(K20/E20),"n/a",K20/E20)</f>
        <v>4.6456383543023193E-2</v>
      </c>
    </row>
    <row r="21" spans="1:12" x14ac:dyDescent="0.25">
      <c r="D21" t="s">
        <v>279</v>
      </c>
      <c r="E21" s="6">
        <v>818.45095622504937</v>
      </c>
      <c r="F21" s="42">
        <v>14.750347685176589</v>
      </c>
      <c r="G21" s="83">
        <f>IF(ISERROR(F21/E21),"n/a",F21/E21)</f>
        <v>1.8022274362302398E-2</v>
      </c>
      <c r="I21" s="29">
        <v>2.5777203592126572</v>
      </c>
      <c r="K21" s="42">
        <f>F21*I21</f>
        <v>38.022271533544981</v>
      </c>
      <c r="L21" s="83">
        <f>IF(ISERROR(K21/E21),"n/a",K21/E21)</f>
        <v>4.6456383543023193E-2</v>
      </c>
    </row>
    <row r="22" spans="1:12" x14ac:dyDescent="0.25">
      <c r="E22" s="6"/>
      <c r="F22" s="6"/>
    </row>
    <row r="23" spans="1:12" x14ac:dyDescent="0.25">
      <c r="B23" s="12" t="s">
        <v>476</v>
      </c>
      <c r="C23" t="s">
        <v>398</v>
      </c>
      <c r="D23" t="s">
        <v>278</v>
      </c>
      <c r="E23" s="6">
        <v>5603.4011766503609</v>
      </c>
      <c r="F23" s="42">
        <v>100.98603336764089</v>
      </c>
      <c r="G23" s="83">
        <f>IF(ISERROR(F23/E23),"n/a",F23/E23)</f>
        <v>1.8022274362302398E-2</v>
      </c>
      <c r="I23" s="29">
        <v>2.5777203592126572</v>
      </c>
      <c r="K23" s="42">
        <f>F23*I23</f>
        <v>260.31375420789664</v>
      </c>
      <c r="L23" s="83">
        <f>IF(ISERROR(K23/E23),"n/a",K23/E23)</f>
        <v>4.6456383543023193E-2</v>
      </c>
    </row>
    <row r="24" spans="1:12" x14ac:dyDescent="0.25">
      <c r="D24" t="s">
        <v>373</v>
      </c>
      <c r="E24" s="6">
        <v>346.66656563007501</v>
      </c>
      <c r="F24" s="42">
        <v>6.2477199580223211</v>
      </c>
      <c r="G24" s="83">
        <f>IF(ISERROR(F24/E24),"n/a",F24/E24)</f>
        <v>1.8022274362302394E-2</v>
      </c>
      <c r="I24" s="29">
        <v>2.5777203592126572</v>
      </c>
      <c r="K24" s="42">
        <f>F24*I24</f>
        <v>16.104874934453385</v>
      </c>
      <c r="L24" s="83">
        <f>IF(ISERROR(K24/E24),"n/a",K24/E24)</f>
        <v>4.6456383543023186E-2</v>
      </c>
    </row>
    <row r="25" spans="1:12" x14ac:dyDescent="0.25">
      <c r="D25" t="s">
        <v>279</v>
      </c>
      <c r="E25" s="6">
        <v>8278.4901777195755</v>
      </c>
      <c r="F25" s="42">
        <v>149.1972212884877</v>
      </c>
      <c r="G25" s="83">
        <f>IF(ISERROR(F25/E25),"n/a",F25/E25)</f>
        <v>1.8022274362302394E-2</v>
      </c>
      <c r="I25" s="29">
        <v>2.5777203592126572</v>
      </c>
      <c r="K25" s="42">
        <f>F25*I25</f>
        <v>384.58871485329081</v>
      </c>
      <c r="L25" s="83">
        <f>IF(ISERROR(K25/E25),"n/a",K25/E25)</f>
        <v>4.6456383543023193E-2</v>
      </c>
    </row>
    <row r="26" spans="1:12" x14ac:dyDescent="0.25">
      <c r="E26" s="6"/>
      <c r="F26" s="27"/>
    </row>
    <row r="27" spans="1:12" x14ac:dyDescent="0.25">
      <c r="B27" t="s">
        <v>407</v>
      </c>
      <c r="C27" s="12" t="s">
        <v>6</v>
      </c>
      <c r="D27" s="12" t="s">
        <v>433</v>
      </c>
      <c r="E27" s="6">
        <v>1465.5467287247986</v>
      </c>
      <c r="F27" s="42">
        <v>-8.0783778376007849</v>
      </c>
      <c r="G27" s="83">
        <f>IF(ISERROR(F27/E27),"n/a",F27/E27)</f>
        <v>-5.5121939677965385E-3</v>
      </c>
      <c r="I27" s="29">
        <v>2.5777203592126572</v>
      </c>
      <c r="K27" s="42">
        <f>F27*I27</f>
        <v>-20.823799021395864</v>
      </c>
      <c r="L27" s="83">
        <f>IF(ISERROR(K27/E27),"n/a",K27/E27)</f>
        <v>-1.4208894614718335E-2</v>
      </c>
    </row>
    <row r="28" spans="1:12" x14ac:dyDescent="0.25">
      <c r="C28" s="12" t="s">
        <v>655</v>
      </c>
      <c r="D28" t="s">
        <v>279</v>
      </c>
      <c r="E28" s="6">
        <v>0</v>
      </c>
      <c r="F28" s="42">
        <v>0</v>
      </c>
      <c r="G28" s="83" t="str">
        <f>IF(ISERROR(F28/E28),"n/a",F28/E28)</f>
        <v>n/a</v>
      </c>
      <c r="I28" s="29">
        <v>2.5777203592126572</v>
      </c>
      <c r="K28" s="42">
        <f>F28*I28</f>
        <v>0</v>
      </c>
      <c r="L28" s="83" t="str">
        <f>IF(ISERROR(K28/E28),"n/a",K28/E28)</f>
        <v>n/a</v>
      </c>
    </row>
    <row r="29" spans="1:12" x14ac:dyDescent="0.25">
      <c r="E29" s="6"/>
    </row>
    <row r="30" spans="1:12" x14ac:dyDescent="0.25">
      <c r="B30" t="s">
        <v>400</v>
      </c>
      <c r="C30" s="12" t="s">
        <v>6</v>
      </c>
      <c r="D30" t="s">
        <v>373</v>
      </c>
      <c r="E30" s="6">
        <v>243.12689851973008</v>
      </c>
      <c r="F30" s="42">
        <v>4.3816996699782278</v>
      </c>
      <c r="G30" s="83">
        <f>IF(ISERROR(F30/E30),"n/a",F30/E30)</f>
        <v>1.8022274362302398E-2</v>
      </c>
      <c r="I30" s="29">
        <v>2.5777203592126572</v>
      </c>
      <c r="K30" s="42">
        <f>F30*I30</f>
        <v>11.294796447258259</v>
      </c>
      <c r="L30" s="83">
        <f>IF(ISERROR(K30/E30),"n/a",K30/E30)</f>
        <v>4.6456383543023193E-2</v>
      </c>
    </row>
    <row r="31" spans="1:12" x14ac:dyDescent="0.25">
      <c r="B31" s="283"/>
      <c r="C31" s="325" t="s">
        <v>6</v>
      </c>
      <c r="D31" s="283" t="s">
        <v>279</v>
      </c>
      <c r="E31" s="10">
        <v>1315.5148429059739</v>
      </c>
      <c r="F31" s="174">
        <v>23.708569426532595</v>
      </c>
      <c r="G31" s="172">
        <f>IF(ISERROR(F31/E31),"n/a",F31/E31)</f>
        <v>1.8022274362302394E-2</v>
      </c>
      <c r="H31" s="283"/>
      <c r="I31" s="446">
        <v>2.5777203592126572</v>
      </c>
      <c r="J31" s="283"/>
      <c r="K31" s="174">
        <f>F31*I31</f>
        <v>61.114062098579822</v>
      </c>
      <c r="L31" s="172">
        <f>IF(ISERROR(K31/E31),"n/a",K31/E31)</f>
        <v>4.6456383543023193E-2</v>
      </c>
    </row>
    <row r="32" spans="1:12" x14ac:dyDescent="0.25">
      <c r="D32" s="447" t="s">
        <v>405</v>
      </c>
      <c r="E32" s="6">
        <f>SUM(E19:E31)</f>
        <v>68744.605925164084</v>
      </c>
      <c r="F32" s="42">
        <f>SUM(F19:F31)</f>
        <v>1204.4432858382124</v>
      </c>
      <c r="G32" s="83">
        <f>IF(ISERROR(F32/E32),"n/a",F32/E32)</f>
        <v>1.7520549716284341E-2</v>
      </c>
      <c r="K32" s="42">
        <f>SUM(K19:K31)</f>
        <v>3104.7179794221493</v>
      </c>
      <c r="L32" s="83">
        <f>IF(ISERROR(K32/E32),"n/a",K32/E32)</f>
        <v>4.516307770826368E-2</v>
      </c>
    </row>
    <row r="34" spans="1:12" x14ac:dyDescent="0.25">
      <c r="A34" s="25" t="s">
        <v>412</v>
      </c>
      <c r="B34" t="s">
        <v>407</v>
      </c>
      <c r="C34" s="12" t="s">
        <v>409</v>
      </c>
      <c r="D34" s="12" t="s">
        <v>433</v>
      </c>
      <c r="E34" s="6">
        <v>900653.67204403877</v>
      </c>
      <c r="F34" s="42">
        <v>-10207.92749187405</v>
      </c>
      <c r="G34" s="83">
        <f>IF(ISERROR(F34/E34),"n/a",F34/E34)</f>
        <v>-1.133390981319945E-2</v>
      </c>
      <c r="I34" s="29">
        <v>2.5777203592126572</v>
      </c>
      <c r="K34" s="42">
        <f>F34*I34</f>
        <v>-26313.182521170336</v>
      </c>
      <c r="L34" s="83">
        <f>IF(ISERROR(K34/E34),"n/a",K34/E34)</f>
        <v>-2.9215650074964346E-2</v>
      </c>
    </row>
    <row r="35" spans="1:12" x14ac:dyDescent="0.25">
      <c r="E35" s="6"/>
      <c r="F35" s="42"/>
    </row>
    <row r="36" spans="1:12" x14ac:dyDescent="0.25">
      <c r="B36" t="s">
        <v>400</v>
      </c>
      <c r="C36" t="s">
        <v>409</v>
      </c>
      <c r="D36" t="s">
        <v>373</v>
      </c>
      <c r="E36" s="6">
        <v>88501.60981740462</v>
      </c>
      <c r="F36" s="42">
        <v>1079.7690694170508</v>
      </c>
      <c r="G36" s="83">
        <f>IF(ISERROR(F36/E36),"n/a",F36/E36)</f>
        <v>1.2200558516899482E-2</v>
      </c>
      <c r="I36" s="29">
        <v>2.5777203592126572</v>
      </c>
      <c r="K36" s="42">
        <f>F36*I36</f>
        <v>2783.3427134844369</v>
      </c>
      <c r="L36" s="83">
        <f>IF(ISERROR(K36/E36),"n/a",K36/E36)</f>
        <v>3.1449628082777181E-2</v>
      </c>
    </row>
    <row r="37" spans="1:12" x14ac:dyDescent="0.25">
      <c r="B37" s="283"/>
      <c r="C37" s="283"/>
      <c r="D37" s="283" t="s">
        <v>279</v>
      </c>
      <c r="E37" s="10">
        <v>268907.35236643313</v>
      </c>
      <c r="F37" s="174">
        <v>3280.8198881711769</v>
      </c>
      <c r="G37" s="172">
        <f>IF(ISERROR(F37/E37),"n/a",F37/E37)</f>
        <v>1.2200558516899485E-2</v>
      </c>
      <c r="H37" s="283"/>
      <c r="I37" s="446">
        <v>2.5777203592126572</v>
      </c>
      <c r="J37" s="283"/>
      <c r="K37" s="174">
        <f>F37*I37</f>
        <v>8457.0362206486352</v>
      </c>
      <c r="L37" s="172">
        <f>IF(ISERROR(K37/E37),"n/a",K37/E37)</f>
        <v>3.1449628082777188E-2</v>
      </c>
    </row>
    <row r="38" spans="1:12" x14ac:dyDescent="0.25">
      <c r="D38" s="447" t="s">
        <v>413</v>
      </c>
      <c r="E38" s="6">
        <f>SUM(E34:E37)</f>
        <v>1258062.6342278766</v>
      </c>
      <c r="F38" s="42">
        <f>SUM(F34:F37)</f>
        <v>-5847.3385342858228</v>
      </c>
      <c r="G38" s="83">
        <f>IF(ISERROR(F38/E38),"n/a",F38/E38)</f>
        <v>-4.6478914286128279E-3</v>
      </c>
      <c r="K38" s="42">
        <f>SUM(K34:K37)</f>
        <v>-15072.803587037266</v>
      </c>
      <c r="L38" s="83">
        <f>IF(ISERROR(K38/E38),"n/a",K38/E38)</f>
        <v>-1.1980964362945292E-2</v>
      </c>
    </row>
    <row r="39" spans="1:12" x14ac:dyDescent="0.25">
      <c r="D39" s="447"/>
      <c r="E39" s="6"/>
      <c r="F39" s="42"/>
      <c r="G39" s="83"/>
      <c r="K39" s="42"/>
      <c r="L39" s="83"/>
    </row>
    <row r="40" spans="1:12" x14ac:dyDescent="0.25">
      <c r="D40" s="14" t="s">
        <v>269</v>
      </c>
      <c r="E40" s="6">
        <f>SUM(E17,E32,E38)</f>
        <v>3147809.1160000013</v>
      </c>
      <c r="F40" s="42">
        <f>SUM(F17,F32,F38)</f>
        <v>38943.381353484307</v>
      </c>
      <c r="G40" s="83">
        <f>IF(ISERROR(F40/E40),"n/a",F40/E40)</f>
        <v>1.237158287506665E-2</v>
      </c>
      <c r="K40" s="42">
        <f>SUM(K17,K32,K38)</f>
        <v>100385.14697145905</v>
      </c>
      <c r="L40" s="83">
        <f>IF(ISERROR(K40/E40),"n/a",K40/E40)</f>
        <v>3.1890481052745959E-2</v>
      </c>
    </row>
    <row r="41" spans="1:12" hidden="1" x14ac:dyDescent="0.25"/>
    <row r="42" spans="1:12" hidden="1" x14ac:dyDescent="0.25">
      <c r="C42" s="64"/>
      <c r="D42" s="348" t="s">
        <v>191</v>
      </c>
      <c r="E42" s="143">
        <v>0</v>
      </c>
      <c r="F42" s="143">
        <v>0</v>
      </c>
    </row>
    <row r="43" spans="1:12" hidden="1" x14ac:dyDescent="0.25">
      <c r="E43" s="143">
        <v>0</v>
      </c>
      <c r="F43" s="143">
        <v>0</v>
      </c>
    </row>
    <row r="44" spans="1:12" hidden="1" x14ac:dyDescent="0.25">
      <c r="E44" s="143">
        <v>0</v>
      </c>
      <c r="F44" s="143">
        <v>0</v>
      </c>
    </row>
    <row r="45" spans="1:12" hidden="1" x14ac:dyDescent="0.25">
      <c r="E45" s="143">
        <v>0</v>
      </c>
      <c r="F45" s="143">
        <v>0</v>
      </c>
    </row>
    <row r="46" spans="1:12" x14ac:dyDescent="0.25">
      <c r="A46" s="141"/>
      <c r="B46" s="283"/>
      <c r="C46" s="293"/>
      <c r="D46" s="293"/>
      <c r="E46" s="293"/>
    </row>
    <row r="47" spans="1:12" x14ac:dyDescent="0.25">
      <c r="A47" s="11" t="s">
        <v>235</v>
      </c>
    </row>
    <row r="48" spans="1:12" x14ac:dyDescent="0.25">
      <c r="A48" s="24" t="s">
        <v>401</v>
      </c>
    </row>
    <row r="49" spans="1:1" x14ac:dyDescent="0.25">
      <c r="A49" s="12" t="s">
        <v>477</v>
      </c>
    </row>
    <row r="50" spans="1:1" x14ac:dyDescent="0.25">
      <c r="A50" s="25" t="s">
        <v>809</v>
      </c>
    </row>
    <row r="51" spans="1:1" x14ac:dyDescent="0.25">
      <c r="A51" s="25" t="s">
        <v>808</v>
      </c>
    </row>
    <row r="52" spans="1:1" x14ac:dyDescent="0.25">
      <c r="A52" s="24" t="s">
        <v>414</v>
      </c>
    </row>
    <row r="53" spans="1:1" x14ac:dyDescent="0.25">
      <c r="A53" s="25" t="s">
        <v>7</v>
      </c>
    </row>
    <row r="54" spans="1:1" x14ac:dyDescent="0.25">
      <c r="A54" s="25" t="s">
        <v>656</v>
      </c>
    </row>
    <row r="55" spans="1:1" x14ac:dyDescent="0.25">
      <c r="A55" s="25" t="s">
        <v>8</v>
      </c>
    </row>
    <row r="56" spans="1:1" x14ac:dyDescent="0.25">
      <c r="A56" s="25" t="s">
        <v>657</v>
      </c>
    </row>
    <row r="57" spans="1:1" x14ac:dyDescent="0.25">
      <c r="A57" s="12" t="s">
        <v>26</v>
      </c>
    </row>
  </sheetData>
  <phoneticPr fontId="5" type="noConversion"/>
  <printOptions horizontalCentered="1"/>
  <pageMargins left="0.75" right="0.75" top="1" bottom="1" header="0.5" footer="0.5"/>
  <pageSetup scale="70" orientation="landscape"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O27"/>
  <sheetViews>
    <sheetView zoomScale="70" workbookViewId="0"/>
  </sheetViews>
  <sheetFormatPr defaultRowHeight="13.2" x14ac:dyDescent="0.25"/>
  <cols>
    <col min="1" max="1" width="12.5546875" customWidth="1"/>
    <col min="2" max="2" width="15.88671875" customWidth="1"/>
    <col min="3" max="7" width="11.6640625" customWidth="1"/>
    <col min="8" max="8" width="3.6640625" customWidth="1"/>
    <col min="9" max="9" width="11.6640625" customWidth="1"/>
    <col min="10" max="10" width="3.6640625" customWidth="1"/>
    <col min="11" max="14" width="11.6640625" customWidth="1"/>
  </cols>
  <sheetData>
    <row r="1" spans="1:15" ht="15.6" x14ac:dyDescent="0.3">
      <c r="A1" s="158" t="s">
        <v>14</v>
      </c>
      <c r="B1" s="158"/>
    </row>
    <row r="2" spans="1:15" ht="15.6" x14ac:dyDescent="0.3">
      <c r="A2" s="158" t="s">
        <v>787</v>
      </c>
      <c r="B2" s="443"/>
    </row>
    <row r="3" spans="1:15" ht="39.6" x14ac:dyDescent="0.25">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5" x14ac:dyDescent="0.25">
      <c r="A4" s="12" t="s">
        <v>2</v>
      </c>
      <c r="B4" t="s">
        <v>278</v>
      </c>
      <c r="C4" s="6">
        <f>SUM('Table 3.26-REC Detail NonACS'!E4,'Table 3.26-REC Detail NonACS'!E19)</f>
        <v>355720.95211613271</v>
      </c>
      <c r="D4" s="42">
        <f>SUM('Table 3.26-REC Detail NonACS'!F4,'Table 3.26-REC Detail NonACS'!F19)</f>
        <v>24558.700963256648</v>
      </c>
      <c r="E4" s="42">
        <f>SUM('Table 3.27-REC Detail ACS'!F4,'Table 3.27-REC Detail ACS'!F19)</f>
        <v>0</v>
      </c>
      <c r="F4" s="165">
        <f>SUM(D4:E4)</f>
        <v>24558.700963256648</v>
      </c>
      <c r="G4" s="83">
        <f>IF(ISERROR(F4/C4),"n/a",F4/C4)</f>
        <v>6.9039230939759028E-2</v>
      </c>
      <c r="I4" s="29">
        <v>1.349903413436558</v>
      </c>
      <c r="K4" s="42">
        <f>D4*I4</f>
        <v>33151.874259867829</v>
      </c>
      <c r="L4" s="42">
        <f>E4*I4</f>
        <v>0</v>
      </c>
      <c r="M4" s="42">
        <f>SUM(K4:L4)</f>
        <v>33151.874259867829</v>
      </c>
      <c r="N4" s="83">
        <f>IF(ISERROR(M4/C4),"n/a",M4/C4)</f>
        <v>9.3196293506615513E-2</v>
      </c>
    </row>
    <row r="5" spans="1:15" x14ac:dyDescent="0.25">
      <c r="B5" s="12" t="s">
        <v>431</v>
      </c>
      <c r="C5" s="6">
        <f>SUM('Table 3.26-REC Detail NonACS'!E5,'Table 3.26-REC Detail NonACS'!E12,'Table 3.26-REC Detail NonACS'!E20,'Table 3.26-REC Detail NonACS'!E27,'Table 3.26-REC Detail NonACS'!E34)</f>
        <v>661392.15765250882</v>
      </c>
      <c r="D5" s="42">
        <f>SUM('Table 3.26-REC Detail NonACS'!F5,'Table 3.26-REC Detail NonACS'!F12,'Table 3.26-REC Detail NonACS'!F20,'Table 3.26-REC Detail NonACS'!F27,'Table 3.26-REC Detail NonACS'!F34)</f>
        <v>1448.9372599872622</v>
      </c>
      <c r="E5" s="42">
        <f>SUM('Table 3.27-REC Detail ACS'!F5,'Table 3.27-REC Detail ACS'!F12,'Table 3.27-REC Detail ACS'!F20,'Table 3.27-REC Detail ACS'!F27,'Table 3.27-REC Detail ACS'!F34)</f>
        <v>0</v>
      </c>
      <c r="F5" s="165">
        <f>SUM(D5:E5)</f>
        <v>1448.9372599872622</v>
      </c>
      <c r="G5" s="83">
        <f>IF(ISERROR(F5/C5),"n/a",F5/C5)</f>
        <v>2.1907384948893277E-3</v>
      </c>
      <c r="I5" s="29">
        <v>1.349903413436558</v>
      </c>
      <c r="K5" s="42">
        <f>D5*I5</f>
        <v>1955.9253531122188</v>
      </c>
      <c r="L5" s="42">
        <f>E5*I5</f>
        <v>0</v>
      </c>
      <c r="M5" s="42">
        <f>SUM(K5:L5)</f>
        <v>1955.9253531122188</v>
      </c>
      <c r="N5" s="83">
        <f>IF(ISERROR(M5/C5),"n/a",M5/C5)</f>
        <v>2.9572853721979713E-3</v>
      </c>
    </row>
    <row r="6" spans="1:15" x14ac:dyDescent="0.25">
      <c r="B6" t="s">
        <v>279</v>
      </c>
      <c r="C6" s="6">
        <f>SUM('Table 3.26-REC Detail NonACS'!E6,'Table 3.26-REC Detail NonACS'!E13,'Table 3.26-REC Detail NonACS'!E21,'Table 3.26-REC Detail NonACS'!E28)</f>
        <v>431989.20223462087</v>
      </c>
      <c r="D6" s="42">
        <f>SUM('Table 3.26-REC Detail NonACS'!F6,'Table 3.26-REC Detail NonACS'!F13,'Table 3.26-REC Detail NonACS'!F21,'Table 3.26-REC Detail NonACS'!F28)</f>
        <v>29824.20229655824</v>
      </c>
      <c r="E6" s="42">
        <f>SUM('Table 3.27-REC Detail ACS'!F6,'Table 3.27-REC Detail ACS'!F13,'Table 3.27-REC Detail ACS'!F21,'Table 3.27-REC Detail ACS'!F28)</f>
        <v>0</v>
      </c>
      <c r="F6" s="165">
        <f>SUM(D6:E6)</f>
        <v>29824.20229655824</v>
      </c>
      <c r="G6" s="83">
        <f>IF(ISERROR(F6/C6),"n/a",F6/C6)</f>
        <v>6.9039230939758986E-2</v>
      </c>
      <c r="I6" s="29">
        <v>1.349903413436558</v>
      </c>
      <c r="K6" s="42">
        <f>D6*I6</f>
        <v>40259.792483146397</v>
      </c>
      <c r="L6" s="42">
        <f>E6*I6</f>
        <v>0</v>
      </c>
      <c r="M6" s="42">
        <f>SUM(K6:L6)</f>
        <v>40259.792483146397</v>
      </c>
      <c r="N6" s="83">
        <f>IF(ISERROR(M6/C6),"n/a",M6/C6)</f>
        <v>9.3196293506615471E-2</v>
      </c>
    </row>
    <row r="7" spans="1:15" x14ac:dyDescent="0.25">
      <c r="C7" s="6"/>
      <c r="D7" s="42"/>
      <c r="E7" s="42"/>
    </row>
    <row r="8" spans="1:15" x14ac:dyDescent="0.25">
      <c r="A8" s="12" t="s">
        <v>3</v>
      </c>
      <c r="B8" t="s">
        <v>278</v>
      </c>
      <c r="C8" s="6">
        <f>SUM('Table 3.26-REC Detail NonACS'!E8,'Table 3.26-REC Detail NonACS'!E23)</f>
        <v>56131.791117036126</v>
      </c>
      <c r="D8" s="42">
        <f>SUM('Table 3.26-REC Detail NonACS'!F8,'Table 3.26-REC Detail NonACS'!F23)</f>
        <v>1937.6478449956851</v>
      </c>
      <c r="E8" s="42">
        <f>SUM('Table 3.27-REC Detail ACS'!F8,'Table 3.27-REC Detail ACS'!F23)</f>
        <v>3647.1055009900792</v>
      </c>
      <c r="F8" s="165">
        <f>SUM(D8:E8)</f>
        <v>5584.7533459857641</v>
      </c>
      <c r="G8" s="83">
        <f>IF(ISERROR(F8/C8),"n/a",F8/C8)</f>
        <v>9.9493588835271971E-2</v>
      </c>
      <c r="I8" s="29">
        <v>1.349903413436558</v>
      </c>
      <c r="K8" s="42">
        <f>D8*I8</f>
        <v>2615.6374399976658</v>
      </c>
      <c r="L8" s="42">
        <f>E8*I8</f>
        <v>4923.240164949756</v>
      </c>
      <c r="M8" s="42">
        <f>SUM(K8:L8)</f>
        <v>7538.8776049474218</v>
      </c>
      <c r="N8" s="83">
        <f>IF(ISERROR(M8/C8),"n/a",M8/C8)</f>
        <v>0.13430673518378705</v>
      </c>
    </row>
    <row r="9" spans="1:15" x14ac:dyDescent="0.25">
      <c r="B9" s="12" t="s">
        <v>373</v>
      </c>
      <c r="C9" s="6">
        <f>SUM('Table 3.26-REC Detail NonACS'!E9,'Table 3.26-REC Detail NonACS'!E24)</f>
        <v>3472.714987870992</v>
      </c>
      <c r="D9" s="42">
        <f>SUM('Table 3.26-REC Detail NonACS'!F9,'Table 3.26-REC Detail NonACS'!F24)</f>
        <v>119.8767860177939</v>
      </c>
      <c r="E9" s="42">
        <f>SUM('Table 3.27-REC Detail ACS'!F9,'Table 3.27-REC Detail ACS'!F24)</f>
        <v>225.63609112752908</v>
      </c>
      <c r="F9" s="165">
        <f>SUM(D9:E9)</f>
        <v>345.51287714532299</v>
      </c>
      <c r="G9" s="83">
        <f>IF(ISERROR(F9/C9),"n/a",F9/C9)</f>
        <v>9.9493588835271971E-2</v>
      </c>
      <c r="I9" s="29">
        <v>1.349903413436558</v>
      </c>
      <c r="K9" s="42">
        <f>D9*I9</f>
        <v>161.82208263722384</v>
      </c>
      <c r="L9" s="42">
        <f>E9*I9</f>
        <v>304.58692960753376</v>
      </c>
      <c r="M9" s="42">
        <f>SUM(K9:L9)</f>
        <v>466.40901224475761</v>
      </c>
      <c r="N9" s="83">
        <f>IF(ISERROR(M9/C9),"n/a",M9/C9)</f>
        <v>0.13430673518378705</v>
      </c>
    </row>
    <row r="10" spans="1:15" x14ac:dyDescent="0.25">
      <c r="B10" t="s">
        <v>279</v>
      </c>
      <c r="C10" s="6">
        <f>SUM('Table 3.26-REC Detail NonACS'!E10,'Table 3.26-REC Detail NonACS'!E25)</f>
        <v>82929.361430796882</v>
      </c>
      <c r="D10" s="42">
        <f>SUM('Table 3.26-REC Detail NonACS'!F10,'Table 3.26-REC Detail NonACS'!F25)</f>
        <v>2862.6896677537643</v>
      </c>
      <c r="E10" s="42">
        <f>SUM('Table 3.27-REC Detail ACS'!F10,'Table 3.27-REC Detail ACS'!F25)</f>
        <v>5388.2501208136027</v>
      </c>
      <c r="F10" s="165">
        <f>SUM(D10:E10)</f>
        <v>8250.9397885673679</v>
      </c>
      <c r="G10" s="83">
        <f>IF(ISERROR(F10/C10),"n/a",F10/C10)</f>
        <v>9.9493588835271984E-2</v>
      </c>
      <c r="I10" s="29">
        <v>1.349903413436558</v>
      </c>
      <c r="K10" s="42">
        <f>D10*I10</f>
        <v>3864.3545541103722</v>
      </c>
      <c r="L10" s="42">
        <f>E10*I10</f>
        <v>7273.6172305362279</v>
      </c>
      <c r="M10" s="42">
        <f>SUM(K10:L10)</f>
        <v>11137.971784646601</v>
      </c>
      <c r="N10" s="83">
        <f>IF(ISERROR(M10/C10),"n/a",M10/C10)</f>
        <v>0.13430673518378705</v>
      </c>
    </row>
    <row r="11" spans="1:15" x14ac:dyDescent="0.25">
      <c r="C11" s="6"/>
      <c r="D11" s="42"/>
      <c r="E11" s="42"/>
    </row>
    <row r="12" spans="1:15" x14ac:dyDescent="0.25">
      <c r="A12" s="12" t="s">
        <v>4</v>
      </c>
      <c r="B12" s="12" t="s">
        <v>373</v>
      </c>
      <c r="C12" s="6">
        <f>SUM('Table 3.26-REC Detail NonACS'!E15,'Table 3.26-REC Detail NonACS'!E30,'Table 3.26-REC Detail NonACS'!E36)</f>
        <v>54739.962951662594</v>
      </c>
      <c r="D12" s="42">
        <f>SUM('Table 3.26-REC Detail NonACS'!F15,'Table 3.26-REC Detail NonACS'!F30,'Table 3.26-REC Detail NonACS'!F36)</f>
        <v>1889.602471926843</v>
      </c>
      <c r="E12" s="42">
        <f>SUM('Table 3.27-REC Detail ACS'!F15,'Table 3.27-REC Detail ACS'!F30,'Table 3.27-REC Detail ACS'!F36)</f>
        <v>3556.6728948438963</v>
      </c>
      <c r="F12" s="165">
        <f>SUM(D12:E12)</f>
        <v>5446.2753667707393</v>
      </c>
      <c r="G12" s="83">
        <f>IF(ISERROR(F12/C12),"n/a",F12/C12)</f>
        <v>9.9493588835271984E-2</v>
      </c>
      <c r="I12" s="29">
        <v>1.349903413436558</v>
      </c>
      <c r="K12" s="42">
        <f>D12*I12</f>
        <v>2550.7808268922031</v>
      </c>
      <c r="L12" s="42">
        <f>E12*I12</f>
        <v>4801.1648812270596</v>
      </c>
      <c r="M12" s="42">
        <f>SUM(K12:L12)</f>
        <v>7351.9457081192631</v>
      </c>
      <c r="N12" s="83">
        <f>IF(ISERROR(M12/C12),"n/a",M12/C12)</f>
        <v>0.13430673518378708</v>
      </c>
    </row>
    <row r="13" spans="1:15" x14ac:dyDescent="0.25">
      <c r="A13" s="283"/>
      <c r="B13" s="325" t="s">
        <v>279</v>
      </c>
      <c r="C13" s="10">
        <f>SUM('Table 3.26-REC Detail NonACS'!E16,'Table 3.26-REC Detail NonACS'!E31,'Table 3.26-REC Detail NonACS'!E37)</f>
        <v>172102.34941163039</v>
      </c>
      <c r="D13" s="174">
        <f>SUM('Table 3.26-REC Detail NonACS'!F16,'Table 3.26-REC Detail NonACS'!F31,'Table 3.26-REC Detail NonACS'!F37)</f>
        <v>5940.9069231523245</v>
      </c>
      <c r="E13" s="174">
        <f>SUM('Table 3.27-REC Detail ACS'!F16,'Table 3.27-REC Detail ACS'!F31,'Table 3.27-REC Detail ACS'!F37)</f>
        <v>11182.173466792745</v>
      </c>
      <c r="F13" s="326">
        <f>SUM(D13:E13)</f>
        <v>17123.080389945069</v>
      </c>
      <c r="G13" s="172">
        <f>IF(ISERROR(F13/C13),"n/a",F13/C13)</f>
        <v>9.9493588835271998E-2</v>
      </c>
      <c r="H13" s="283"/>
      <c r="I13" s="446">
        <v>1.349903413436558</v>
      </c>
      <c r="J13" s="283"/>
      <c r="K13" s="174">
        <f>D13*I13</f>
        <v>8019.6505344722018</v>
      </c>
      <c r="L13" s="174">
        <f>E13*I13</f>
        <v>15094.854132463235</v>
      </c>
      <c r="M13" s="174">
        <f>SUM(K13:L13)</f>
        <v>23114.504666935438</v>
      </c>
      <c r="N13" s="172">
        <f>IF(ISERROR(M13/C13),"n/a",M13/C13)</f>
        <v>0.13430673518378708</v>
      </c>
    </row>
    <row r="14" spans="1:15" x14ac:dyDescent="0.25">
      <c r="B14" s="14" t="s">
        <v>428</v>
      </c>
      <c r="C14" s="6">
        <f>SUM(C4:C13)</f>
        <v>1818478.4919022589</v>
      </c>
      <c r="D14" s="42">
        <f>SUM(D4:D13)</f>
        <v>68582.564213648555</v>
      </c>
      <c r="E14" s="42">
        <f>SUM(E4:E13)</f>
        <v>23999.838074567851</v>
      </c>
      <c r="F14" s="42">
        <f>SUM(F4:F13)</f>
        <v>92582.402288216428</v>
      </c>
      <c r="G14" s="83">
        <f>IF(ISERROR(F14/C14),"n/a",F14/C14)</f>
        <v>5.091201391739783E-2</v>
      </c>
      <c r="K14" s="42">
        <f>SUM(K4:K13)</f>
        <v>92579.837534236096</v>
      </c>
      <c r="L14" s="42">
        <f>SUM(L4:L13)</f>
        <v>32397.463338783815</v>
      </c>
      <c r="M14" s="42">
        <f>SUM(M4:M13)</f>
        <v>124977.30087301991</v>
      </c>
      <c r="N14" s="83">
        <f>IF(ISERROR(M14/C14),"n/a",M14/C14)</f>
        <v>6.8726301372024859E-2</v>
      </c>
    </row>
    <row r="15" spans="1:15" x14ac:dyDescent="0.25">
      <c r="B15" s="14"/>
      <c r="C15" s="6"/>
      <c r="D15" s="42"/>
      <c r="E15" s="6"/>
      <c r="G15" s="83"/>
      <c r="M15" s="42"/>
      <c r="N15" s="83"/>
    </row>
    <row r="16" spans="1:15" x14ac:dyDescent="0.25">
      <c r="B16" s="14" t="s">
        <v>482</v>
      </c>
      <c r="C16" s="6">
        <f>'Table 3.26-REC Detail NonACS'!E45</f>
        <v>45908.878571845671</v>
      </c>
      <c r="D16" s="42">
        <f>'Table 3.26-REC Detail NonACS'!F45</f>
        <v>16046.734267631735</v>
      </c>
      <c r="E16" s="42">
        <f>'Table 3.27-REC Detail ACS'!F45</f>
        <v>0</v>
      </c>
      <c r="F16" s="165">
        <f>SUM(D16:E16)</f>
        <v>16046.734267631735</v>
      </c>
      <c r="G16" s="83">
        <f>IF(ISERROR(F16/C16),"n/a",F16/C16)</f>
        <v>0.34953444228700115</v>
      </c>
      <c r="I16" s="29">
        <v>1.349903413436558</v>
      </c>
      <c r="K16" s="42">
        <f>D16*I16</f>
        <v>21661.541362385462</v>
      </c>
      <c r="L16" s="42">
        <f>E16*I16</f>
        <v>0</v>
      </c>
      <c r="M16" s="42">
        <f>SUM(K16:L16)</f>
        <v>21661.541362385462</v>
      </c>
      <c r="N16" s="83">
        <f>IF(ISERROR(M16/C16),"n/a",M16/C16)</f>
        <v>0.47183773675686641</v>
      </c>
    </row>
    <row r="17" spans="1:14" x14ac:dyDescent="0.25">
      <c r="B17" s="14"/>
      <c r="C17" s="6"/>
      <c r="D17" s="42"/>
      <c r="E17" s="6"/>
      <c r="G17" s="83"/>
      <c r="M17" s="42"/>
      <c r="N17" s="83"/>
    </row>
    <row r="18" spans="1:14" x14ac:dyDescent="0.25">
      <c r="B18" s="14" t="s">
        <v>429</v>
      </c>
      <c r="C18" s="6">
        <f>SUM(C14,C16)</f>
        <v>1864387.3704741045</v>
      </c>
      <c r="D18" s="42">
        <f>SUM(D14,D16)</f>
        <v>84629.29848128029</v>
      </c>
      <c r="E18" s="42">
        <f>SUM(E14,E16)</f>
        <v>23999.838074567851</v>
      </c>
      <c r="F18" s="165">
        <f>SUM(D18:E18)</f>
        <v>108629.13655584815</v>
      </c>
      <c r="G18" s="83">
        <f>IF(ISERROR(F18/C18),"n/a",F18/C18)</f>
        <v>5.826532526243422E-2</v>
      </c>
      <c r="K18" s="42">
        <f>SUM(K14,K16)</f>
        <v>114241.37889662155</v>
      </c>
      <c r="L18" s="42">
        <f>SUM(L14,L16)</f>
        <v>32397.463338783815</v>
      </c>
      <c r="M18" s="42">
        <f>SUM(K18:L18)</f>
        <v>146638.84223540538</v>
      </c>
      <c r="N18" s="83">
        <f>IF(ISERROR(M18/C18),"n/a",M18/C18)</f>
        <v>7.8652561456751258E-2</v>
      </c>
    </row>
    <row r="19" spans="1:14" hidden="1" x14ac:dyDescent="0.25">
      <c r="B19" s="14"/>
      <c r="C19" s="6"/>
      <c r="D19" s="6"/>
      <c r="E19" s="6"/>
      <c r="F19" s="42"/>
      <c r="G19" s="83"/>
      <c r="K19" s="240"/>
      <c r="L19" s="240"/>
      <c r="M19" s="42"/>
      <c r="N19" s="83"/>
    </row>
    <row r="20" spans="1:14" hidden="1" x14ac:dyDescent="0.25">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14" x14ac:dyDescent="0.25">
      <c r="A21" s="283"/>
      <c r="B21" s="293"/>
      <c r="C21" s="293"/>
      <c r="D21" s="38"/>
      <c r="E21" s="38"/>
    </row>
    <row r="22" spans="1:14" x14ac:dyDescent="0.25">
      <c r="A22" s="11" t="s">
        <v>235</v>
      </c>
      <c r="B22" s="64"/>
      <c r="C22" s="64"/>
      <c r="D22" s="64"/>
      <c r="E22" s="64"/>
    </row>
    <row r="23" spans="1:14" x14ac:dyDescent="0.25">
      <c r="A23" s="25" t="s">
        <v>658</v>
      </c>
      <c r="B23" s="64"/>
      <c r="C23" s="64"/>
      <c r="D23" s="64"/>
      <c r="E23" s="64"/>
    </row>
    <row r="24" spans="1:14" x14ac:dyDescent="0.25">
      <c r="A24" s="25" t="s">
        <v>36</v>
      </c>
      <c r="B24" s="64"/>
      <c r="C24" s="64"/>
      <c r="D24" s="64"/>
      <c r="E24" s="64"/>
    </row>
    <row r="25" spans="1:14" x14ac:dyDescent="0.25">
      <c r="A25" s="25" t="s">
        <v>808</v>
      </c>
    </row>
    <row r="26" spans="1:14" x14ac:dyDescent="0.25">
      <c r="A26" s="12" t="s">
        <v>25</v>
      </c>
    </row>
    <row r="27" spans="1:14" x14ac:dyDescent="0.25">
      <c r="A27" s="12" t="s">
        <v>42</v>
      </c>
    </row>
  </sheetData>
  <phoneticPr fontId="5" type="noConversion"/>
  <printOptions horizontalCentered="1"/>
  <pageMargins left="0.75" right="0.75" top="1" bottom="1" header="0.5" footer="0.5"/>
  <pageSetup scale="81" orientation="landscape"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M67"/>
  <sheetViews>
    <sheetView zoomScale="70" workbookViewId="0"/>
  </sheetViews>
  <sheetFormatPr defaultRowHeight="13.2" x14ac:dyDescent="0.25"/>
  <cols>
    <col min="1" max="1" width="27.109375" customWidth="1"/>
    <col min="2" max="2" width="9.6640625" customWidth="1"/>
    <col min="3" max="3" width="25.6640625" customWidth="1"/>
    <col min="4" max="4" width="18.33203125" customWidth="1"/>
    <col min="5" max="7" width="11.6640625" customWidth="1"/>
    <col min="8" max="8" width="3.6640625" customWidth="1"/>
    <col min="9" max="9" width="11.6640625" customWidth="1"/>
    <col min="10" max="10" width="3.6640625" customWidth="1"/>
    <col min="11" max="12" width="11.6640625" customWidth="1"/>
  </cols>
  <sheetData>
    <row r="1" spans="1:13" ht="15.6" x14ac:dyDescent="0.3">
      <c r="A1" s="158" t="s">
        <v>673</v>
      </c>
      <c r="B1" s="158"/>
      <c r="C1" s="158"/>
      <c r="D1" s="158"/>
    </row>
    <row r="2" spans="1:13" ht="15.6" x14ac:dyDescent="0.3">
      <c r="A2" s="158" t="s">
        <v>787</v>
      </c>
      <c r="B2" s="443"/>
      <c r="C2" s="443"/>
      <c r="D2" s="443"/>
    </row>
    <row r="3" spans="1:13" ht="39.6" x14ac:dyDescent="0.25">
      <c r="A3" s="444" t="s">
        <v>396</v>
      </c>
      <c r="B3" s="445" t="s">
        <v>399</v>
      </c>
      <c r="C3" s="444" t="s">
        <v>397</v>
      </c>
      <c r="D3" s="444" t="s">
        <v>348</v>
      </c>
      <c r="E3" s="168" t="s">
        <v>432</v>
      </c>
      <c r="F3" s="189" t="s">
        <v>403</v>
      </c>
      <c r="G3" s="8" t="s">
        <v>104</v>
      </c>
      <c r="H3" s="8"/>
      <c r="I3" s="199" t="s">
        <v>404</v>
      </c>
      <c r="J3" s="87"/>
      <c r="K3" s="160" t="s">
        <v>415</v>
      </c>
      <c r="L3" s="41" t="s">
        <v>133</v>
      </c>
      <c r="M3" s="11"/>
    </row>
    <row r="4" spans="1:13" x14ac:dyDescent="0.25">
      <c r="A4" s="25" t="s">
        <v>410</v>
      </c>
      <c r="B4" t="s">
        <v>407</v>
      </c>
      <c r="C4" t="s">
        <v>398</v>
      </c>
      <c r="D4" t="s">
        <v>278</v>
      </c>
      <c r="E4" s="6">
        <f>'Table 3.28-REC Volume'!H4</f>
        <v>328788.29399131244</v>
      </c>
      <c r="F4" s="42">
        <v>22699.290959155602</v>
      </c>
      <c r="G4" s="83">
        <f>IF(ISERROR(F4/E4),"n/a",F4/E4)</f>
        <v>6.9039230939759014E-2</v>
      </c>
      <c r="I4" s="29">
        <v>1.349903413436558</v>
      </c>
      <c r="K4" s="42">
        <f>F4*I4</f>
        <v>30641.850348353746</v>
      </c>
      <c r="L4" s="83">
        <f>IF(ISERROR(K4/E4),"n/a",K4/E4)</f>
        <v>9.3196293506615513E-2</v>
      </c>
    </row>
    <row r="5" spans="1:13" x14ac:dyDescent="0.25">
      <c r="D5" t="s">
        <v>373</v>
      </c>
      <c r="E5" s="6">
        <f>'Table 3.28-REC Volume'!H5</f>
        <v>123725.24461726865</v>
      </c>
      <c r="F5" s="42">
        <v>8541.8957362097863</v>
      </c>
      <c r="G5" s="83">
        <f>IF(ISERROR(F5/E5),"n/a",F5/E5)</f>
        <v>6.9039230939759014E-2</v>
      </c>
      <c r="I5" s="29">
        <v>1.349903413436558</v>
      </c>
      <c r="K5" s="42">
        <f>F5*I5</f>
        <v>11530.73421152877</v>
      </c>
      <c r="L5" s="83">
        <f>IF(ISERROR(K5/E5),"n/a",K5/E5)</f>
        <v>9.3196293506615513E-2</v>
      </c>
    </row>
    <row r="6" spans="1:13" x14ac:dyDescent="0.25">
      <c r="D6" t="s">
        <v>279</v>
      </c>
      <c r="E6" s="6">
        <f>'Table 3.28-REC Volume'!H6</f>
        <v>7308.7670390896828</v>
      </c>
      <c r="F6" s="42">
        <v>504.59165549661122</v>
      </c>
      <c r="G6" s="83">
        <f>IF(ISERROR(F6/E6),"n/a",F6/E6)</f>
        <v>6.9039230939759E-2</v>
      </c>
      <c r="I6" s="29">
        <v>1.349903413436558</v>
      </c>
      <c r="K6" s="42">
        <f>F6*I6</f>
        <v>681.14999814647922</v>
      </c>
      <c r="L6" s="83">
        <f>IF(ISERROR(K6/E6),"n/a",K6/E6)</f>
        <v>9.3196293506615499E-2</v>
      </c>
    </row>
    <row r="7" spans="1:13" x14ac:dyDescent="0.25">
      <c r="E7" s="6"/>
    </row>
    <row r="8" spans="1:13" x14ac:dyDescent="0.25">
      <c r="B8" t="s">
        <v>476</v>
      </c>
      <c r="C8" t="s">
        <v>398</v>
      </c>
      <c r="D8" t="s">
        <v>278</v>
      </c>
      <c r="E8" s="6">
        <f>'Table 3.28-REC Volume'!H8</f>
        <v>51881.891494605661</v>
      </c>
      <c r="F8" s="42">
        <v>1790.9429442437993</v>
      </c>
      <c r="G8" s="83">
        <f>IF(ISERROR(F8/E8),"n/a",F8/E8)</f>
        <v>3.45196154698795E-2</v>
      </c>
      <c r="I8" s="29">
        <v>1.349903413436558</v>
      </c>
      <c r="K8" s="42">
        <f>F8*I8</f>
        <v>2417.5999937048236</v>
      </c>
      <c r="L8" s="83">
        <f>IF(ISERROR(K8/E8),"n/a",K8/E8)</f>
        <v>4.659814675330775E-2</v>
      </c>
    </row>
    <row r="9" spans="1:13" x14ac:dyDescent="0.25">
      <c r="D9" t="s">
        <v>373</v>
      </c>
      <c r="E9" s="6">
        <f>'Table 3.28-REC Volume'!H9</f>
        <v>3209.7857311688617</v>
      </c>
      <c r="F9" s="42">
        <v>110.80056918065512</v>
      </c>
      <c r="G9" s="83">
        <f>IF(ISERROR(F9/E9),"n/a",F9/E9)</f>
        <v>3.45196154698795E-2</v>
      </c>
      <c r="I9" s="29">
        <v>1.349903413436558</v>
      </c>
      <c r="K9" s="42">
        <f>F9*I9</f>
        <v>149.57006654767983</v>
      </c>
      <c r="L9" s="83">
        <f>IF(ISERROR(K9/E9),"n/a",K9/E9)</f>
        <v>4.659814675330775E-2</v>
      </c>
    </row>
    <row r="10" spans="1:13" x14ac:dyDescent="0.25">
      <c r="D10" t="s">
        <v>279</v>
      </c>
      <c r="E10" s="6">
        <f>'Table 3.28-REC Volume'!H10</f>
        <v>76650.540555505475</v>
      </c>
      <c r="F10" s="42">
        <v>2645.9471855344527</v>
      </c>
      <c r="G10" s="83">
        <f>IF(ISERROR(F10/E10),"n/a",F10/E10)</f>
        <v>3.45196154698795E-2</v>
      </c>
      <c r="I10" s="29">
        <v>1.349903413436558</v>
      </c>
      <c r="K10" s="42">
        <f>F10*I10</f>
        <v>3571.7731375258113</v>
      </c>
      <c r="L10" s="83">
        <f>IF(ISERROR(K10/E10),"n/a",K10/E10)</f>
        <v>4.659814675330775E-2</v>
      </c>
    </row>
    <row r="11" spans="1:13" x14ac:dyDescent="0.25">
      <c r="E11" s="6"/>
    </row>
    <row r="12" spans="1:13" x14ac:dyDescent="0.25">
      <c r="B12" t="s">
        <v>407</v>
      </c>
      <c r="C12" s="12" t="s">
        <v>48</v>
      </c>
      <c r="D12" t="s">
        <v>373</v>
      </c>
      <c r="E12" s="6">
        <f>'Table 3.28-REC Volume'!H12</f>
        <v>13087.33228751244</v>
      </c>
      <c r="F12" s="42">
        <v>903.53935618293565</v>
      </c>
      <c r="G12" s="83">
        <f>IF(ISERROR(F12/E12),"n/a",F12/E12)</f>
        <v>6.9039230939758986E-2</v>
      </c>
      <c r="I12" s="29">
        <v>1.349903413436558</v>
      </c>
      <c r="K12" s="42">
        <f>F12*I12</f>
        <v>1219.6908610856149</v>
      </c>
      <c r="L12" s="83">
        <f>IF(ISERROR(K12/E12),"n/a",K12/E12)</f>
        <v>9.3196293506615499E-2</v>
      </c>
    </row>
    <row r="13" spans="1:13" x14ac:dyDescent="0.25">
      <c r="C13" s="12" t="s">
        <v>655</v>
      </c>
      <c r="D13" t="s">
        <v>279</v>
      </c>
      <c r="E13" s="6">
        <f>'Table 3.28-REC Volume'!H13</f>
        <v>424081.73832105257</v>
      </c>
      <c r="F13" s="42">
        <v>29278.27706928159</v>
      </c>
      <c r="G13" s="83">
        <f>IF(ISERROR(F13/E13),"n/a",F13/E13)</f>
        <v>6.9039230939759E-2</v>
      </c>
      <c r="I13" s="29">
        <v>1.349903413436558</v>
      </c>
      <c r="K13" s="42">
        <f>F13*I13</f>
        <v>39522.846155364517</v>
      </c>
      <c r="L13" s="83">
        <f>IF(ISERROR(K13/E13),"n/a",K13/E13)</f>
        <v>9.3196293506615485E-2</v>
      </c>
    </row>
    <row r="14" spans="1:13" x14ac:dyDescent="0.25">
      <c r="E14" s="6"/>
    </row>
    <row r="15" spans="1:13" x14ac:dyDescent="0.25">
      <c r="B15" t="s">
        <v>400</v>
      </c>
      <c r="C15" s="12" t="s">
        <v>48</v>
      </c>
      <c r="D15" t="s">
        <v>373</v>
      </c>
      <c r="E15" s="6">
        <f>'Table 3.28-REC Volume'!H15</f>
        <v>2251.1119533941783</v>
      </c>
      <c r="F15" s="42">
        <v>77.707519010816355</v>
      </c>
      <c r="G15" s="83">
        <f>IF(ISERROR(F15/E15),"n/a",F15/E15)</f>
        <v>3.4519615469879507E-2</v>
      </c>
      <c r="I15" s="29">
        <v>1.349903413436558</v>
      </c>
      <c r="K15" s="42">
        <f>F15*I15</f>
        <v>104.89764516238722</v>
      </c>
      <c r="L15" s="83">
        <f>IF(ISERROR(K15/E15),"n/a",K15/E15)</f>
        <v>4.6598146753307763E-2</v>
      </c>
    </row>
    <row r="16" spans="1:13" x14ac:dyDescent="0.25">
      <c r="B16" s="283"/>
      <c r="C16" s="325" t="s">
        <v>48</v>
      </c>
      <c r="D16" s="283" t="s">
        <v>279</v>
      </c>
      <c r="E16" s="10">
        <f>'Table 3.28-REC Volume'!H16</f>
        <v>12180.351930466399</v>
      </c>
      <c r="F16" s="174">
        <v>420.46106492750459</v>
      </c>
      <c r="G16" s="172">
        <f>IF(ISERROR(F16/E16),"n/a",F16/E16)</f>
        <v>3.4519615469879507E-2</v>
      </c>
      <c r="H16" s="283"/>
      <c r="I16" s="446">
        <v>1.349903413436558</v>
      </c>
      <c r="J16" s="283"/>
      <c r="K16" s="174">
        <f>F16*I16</f>
        <v>567.58182676280865</v>
      </c>
      <c r="L16" s="172">
        <f>IF(ISERROR(K16/E16),"n/a",K16/E16)</f>
        <v>4.6598146753307756E-2</v>
      </c>
    </row>
    <row r="17" spans="1:12" x14ac:dyDescent="0.25">
      <c r="D17" s="447" t="s">
        <v>406</v>
      </c>
      <c r="E17" s="6">
        <f>SUM(E4:E16)</f>
        <v>1043165.0579213763</v>
      </c>
      <c r="F17" s="42">
        <f>SUM(F4:F16)</f>
        <v>66973.454059223746</v>
      </c>
      <c r="G17" s="83">
        <f>IF(ISERROR(F17/E17),"n/a",F17/E17)</f>
        <v>6.4202163934321085E-2</v>
      </c>
      <c r="K17" s="42">
        <f>SUM(K4:K16)</f>
        <v>90407.69424418264</v>
      </c>
      <c r="L17" s="83">
        <f>IF(ISERROR(K17/E17),"n/a",K17/E17)</f>
        <v>8.6666720244953505E-2</v>
      </c>
    </row>
    <row r="18" spans="1:12" ht="5.0999999999999996" customHeight="1" x14ac:dyDescent="0.25"/>
    <row r="19" spans="1:12" x14ac:dyDescent="0.25">
      <c r="A19" s="25" t="s">
        <v>411</v>
      </c>
      <c r="B19" t="s">
        <v>407</v>
      </c>
      <c r="C19" t="s">
        <v>398</v>
      </c>
      <c r="D19" t="s">
        <v>278</v>
      </c>
      <c r="E19" s="6">
        <f>'Table 3.28-REC Volume'!H19</f>
        <v>26932.6581248203</v>
      </c>
      <c r="F19" s="42">
        <v>1859.4100041010454</v>
      </c>
      <c r="G19" s="83">
        <f>IF(ISERROR(F19/E19),"n/a",F19/E19)</f>
        <v>6.9039230939759E-2</v>
      </c>
      <c r="I19" s="29">
        <v>1.349903413436558</v>
      </c>
      <c r="K19" s="42">
        <f>F19*I19</f>
        <v>2510.0239115140853</v>
      </c>
      <c r="L19" s="83">
        <f>IF(ISERROR(K19/E19),"n/a",K19/E19)</f>
        <v>9.3196293506615499E-2</v>
      </c>
    </row>
    <row r="20" spans="1:12" x14ac:dyDescent="0.25">
      <c r="D20" t="s">
        <v>373</v>
      </c>
      <c r="E20" s="6">
        <f>'Table 3.28-REC Volume'!H20</f>
        <v>10134.940250563504</v>
      </c>
      <c r="F20" s="42">
        <v>699.70848051931284</v>
      </c>
      <c r="G20" s="83">
        <f>IF(ISERROR(F20/E20),"n/a",F20/E20)</f>
        <v>6.9039230939759014E-2</v>
      </c>
      <c r="I20" s="29">
        <v>1.349903413436558</v>
      </c>
      <c r="K20" s="42">
        <f>F20*I20</f>
        <v>944.53886626352767</v>
      </c>
      <c r="L20" s="83">
        <f>IF(ISERROR(K20/E20),"n/a",K20/E20)</f>
        <v>9.3196293506615513E-2</v>
      </c>
    </row>
    <row r="21" spans="1:12" x14ac:dyDescent="0.25">
      <c r="D21" t="s">
        <v>279</v>
      </c>
      <c r="E21" s="6">
        <f>'Table 3.28-REC Volume'!H21</f>
        <v>598.69687447862361</v>
      </c>
      <c r="F21" s="42">
        <v>41.333571780041602</v>
      </c>
      <c r="G21" s="83">
        <f>IF(ISERROR(F21/E21),"n/a",F21/E21)</f>
        <v>6.9039230939759E-2</v>
      </c>
      <c r="I21" s="29">
        <v>1.349903413436558</v>
      </c>
      <c r="K21" s="42">
        <f>F21*I21</f>
        <v>55.79632963540314</v>
      </c>
      <c r="L21" s="83">
        <f>IF(ISERROR(K21/E21),"n/a",K21/E21)</f>
        <v>9.3196293506615485E-2</v>
      </c>
    </row>
    <row r="22" spans="1:12" x14ac:dyDescent="0.25">
      <c r="E22" s="6"/>
    </row>
    <row r="23" spans="1:12" x14ac:dyDescent="0.25">
      <c r="B23" t="s">
        <v>476</v>
      </c>
      <c r="C23" t="s">
        <v>398</v>
      </c>
      <c r="D23" t="s">
        <v>278</v>
      </c>
      <c r="E23" s="6">
        <f>'Table 3.28-REC Volume'!H23</f>
        <v>4249.8996224304665</v>
      </c>
      <c r="F23" s="42">
        <v>146.70490075188579</v>
      </c>
      <c r="G23" s="83">
        <f>IF(ISERROR(F23/E23),"n/a",F23/E23)</f>
        <v>3.45196154698795E-2</v>
      </c>
      <c r="I23" s="29">
        <v>1.349903413436558</v>
      </c>
      <c r="K23" s="42">
        <f>F23*I23</f>
        <v>198.03744629284208</v>
      </c>
      <c r="L23" s="83">
        <f>IF(ISERROR(K23/E23),"n/a",K23/E23)</f>
        <v>4.659814675330775E-2</v>
      </c>
    </row>
    <row r="24" spans="1:12" x14ac:dyDescent="0.25">
      <c r="D24" t="s">
        <v>373</v>
      </c>
      <c r="E24" s="6">
        <f>'Table 3.28-REC Volume'!H24</f>
        <v>262.92925670213043</v>
      </c>
      <c r="F24" s="42">
        <v>9.0762168371387801</v>
      </c>
      <c r="G24" s="83">
        <f>IF(ISERROR(F24/E24),"n/a",F24/E24)</f>
        <v>3.45196154698795E-2</v>
      </c>
      <c r="I24" s="29">
        <v>1.349903413436558</v>
      </c>
      <c r="K24" s="42">
        <f>F24*I24</f>
        <v>12.252016089543998</v>
      </c>
      <c r="L24" s="83">
        <f>IF(ISERROR(K24/E24),"n/a",K24/E24)</f>
        <v>4.659814675330775E-2</v>
      </c>
    </row>
    <row r="25" spans="1:12" x14ac:dyDescent="0.25">
      <c r="D25" t="s">
        <v>279</v>
      </c>
      <c r="E25" s="6">
        <f>'Table 3.28-REC Volume'!H25</f>
        <v>6278.8208752914115</v>
      </c>
      <c r="F25" s="42">
        <v>216.7424822193118</v>
      </c>
      <c r="G25" s="83">
        <f>IF(ISERROR(F25/E25),"n/a",F25/E25)</f>
        <v>3.4519615469879507E-2</v>
      </c>
      <c r="I25" s="29">
        <v>1.349903413436558</v>
      </c>
      <c r="K25" s="42">
        <f>F25*I25</f>
        <v>292.58141658456145</v>
      </c>
      <c r="L25" s="83">
        <f>IF(ISERROR(K25/E25),"n/a",K25/E25)</f>
        <v>4.6598146753307756E-2</v>
      </c>
    </row>
    <row r="26" spans="1:12" x14ac:dyDescent="0.25">
      <c r="E26" s="6"/>
    </row>
    <row r="27" spans="1:12" x14ac:dyDescent="0.25">
      <c r="B27" t="s">
        <v>407</v>
      </c>
      <c r="C27" s="12" t="s">
        <v>48</v>
      </c>
      <c r="D27" s="12" t="s">
        <v>433</v>
      </c>
      <c r="E27" s="6">
        <f>'Table 3.28-REC Volume'!H27</f>
        <v>1072.0474320621904</v>
      </c>
      <c r="F27" s="42">
        <v>-1093.3876260176301</v>
      </c>
      <c r="G27" s="83">
        <f>IF(ISERROR(F27/E27),"n/a",F27/E27)</f>
        <v>-1.01990601657838</v>
      </c>
      <c r="I27" s="29">
        <v>1.349903413436558</v>
      </c>
      <c r="K27" s="42">
        <f>F27*I27</f>
        <v>-1475.9676885704935</v>
      </c>
      <c r="L27" s="83">
        <f>IF(ISERROR(K27/E27),"n/a",K27/E27)</f>
        <v>-1.3767746131636378</v>
      </c>
    </row>
    <row r="28" spans="1:12" x14ac:dyDescent="0.25">
      <c r="C28" s="12" t="s">
        <v>655</v>
      </c>
      <c r="D28" t="s">
        <v>279</v>
      </c>
      <c r="E28" s="6">
        <f>'Table 3.28-REC Volume'!H28</f>
        <v>0</v>
      </c>
      <c r="F28" s="42">
        <v>0</v>
      </c>
      <c r="G28" s="83" t="str">
        <f>IF(ISERROR(F28/E28),"n/a",F28/E28)</f>
        <v>n/a</v>
      </c>
      <c r="I28" s="29">
        <v>1.349903413436558</v>
      </c>
      <c r="K28" s="42">
        <f>F28*I28</f>
        <v>0</v>
      </c>
      <c r="L28" s="83" t="str">
        <f>IF(ISERROR(K28/E28),"n/a",K28/E28)</f>
        <v>n/a</v>
      </c>
    </row>
    <row r="29" spans="1:12" x14ac:dyDescent="0.25">
      <c r="E29" s="6"/>
    </row>
    <row r="30" spans="1:12" x14ac:dyDescent="0.25">
      <c r="B30" t="s">
        <v>400</v>
      </c>
      <c r="C30" s="12" t="s">
        <v>48</v>
      </c>
      <c r="D30" t="s">
        <v>373</v>
      </c>
      <c r="E30" s="6">
        <f>'Table 3.28-REC Volume'!H30</f>
        <v>184.39959618228929</v>
      </c>
      <c r="F30" s="42">
        <v>6.3654031530136868</v>
      </c>
      <c r="G30" s="83">
        <f>IF(ISERROR(F30/E30),"n/a",F30/E30)</f>
        <v>3.4519615469879507E-2</v>
      </c>
      <c r="I30" s="29">
        <v>1.349903413436558</v>
      </c>
      <c r="K30" s="42">
        <f>F30*I30</f>
        <v>8.5926794441530046</v>
      </c>
      <c r="L30" s="83">
        <f>IF(ISERROR(K30/E30),"n/a",K30/E30)</f>
        <v>4.6598146753307756E-2</v>
      </c>
    </row>
    <row r="31" spans="1:12" x14ac:dyDescent="0.25">
      <c r="B31" s="283"/>
      <c r="C31" s="325" t="s">
        <v>48</v>
      </c>
      <c r="D31" s="283" t="s">
        <v>279</v>
      </c>
      <c r="E31" s="10">
        <f>'Table 3.28-REC Volume'!H31</f>
        <v>997.75223260203575</v>
      </c>
      <c r="F31" s="174">
        <v>34.44202340363605</v>
      </c>
      <c r="G31" s="172">
        <f>IF(ISERROR(F31/E31),"n/a",F31/E31)</f>
        <v>3.4519615469879507E-2</v>
      </c>
      <c r="H31" s="283"/>
      <c r="I31" s="446">
        <v>1.349903413436558</v>
      </c>
      <c r="J31" s="283"/>
      <c r="K31" s="174">
        <f>F31*I31</f>
        <v>46.493404958230123</v>
      </c>
      <c r="L31" s="172">
        <f>IF(ISERROR(K31/E31),"n/a",K31/E31)</f>
        <v>4.6598146753307763E-2</v>
      </c>
    </row>
    <row r="32" spans="1:12" x14ac:dyDescent="0.25">
      <c r="D32" s="447" t="s">
        <v>405</v>
      </c>
      <c r="E32" s="6">
        <f>SUM(E19:E31)</f>
        <v>50712.144265132949</v>
      </c>
      <c r="F32" s="42">
        <f>SUM(F19:F31)</f>
        <v>1920.3954567477556</v>
      </c>
      <c r="G32" s="83">
        <f>IF(ISERROR(F32/E32),"n/a",F32/E32)</f>
        <v>3.7868551696563148E-2</v>
      </c>
      <c r="K32" s="42">
        <f>SUM(K19:K31)</f>
        <v>2592.3483822118537</v>
      </c>
      <c r="L32" s="83">
        <f>IF(ISERROR(K32/E32),"n/a",K32/E32)</f>
        <v>5.1118887197089367E-2</v>
      </c>
    </row>
    <row r="33" spans="1:12" ht="5.0999999999999996" customHeight="1" x14ac:dyDescent="0.25"/>
    <row r="34" spans="1:12" x14ac:dyDescent="0.25">
      <c r="A34" s="25" t="s">
        <v>412</v>
      </c>
      <c r="B34" t="s">
        <v>407</v>
      </c>
      <c r="C34" s="12" t="s">
        <v>409</v>
      </c>
      <c r="D34" s="12" t="s">
        <v>433</v>
      </c>
      <c r="E34" s="6">
        <f>'Table 3.28-REC Volume'!H34</f>
        <v>513372.59306510206</v>
      </c>
      <c r="F34" s="42">
        <v>-7602.8186869071433</v>
      </c>
      <c r="G34" s="83">
        <f>IF(ISERROR(F34/E34),"n/a",F34/E34)</f>
        <v>-1.4809553119137802E-2</v>
      </c>
      <c r="I34" s="29">
        <v>1.349903413436558</v>
      </c>
      <c r="K34" s="42">
        <f>F34*I34</f>
        <v>-10263.070897195203</v>
      </c>
      <c r="L34" s="83">
        <f>IF(ISERROR(K34/E34),"n/a",K34/E34)</f>
        <v>-1.9991466306994141E-2</v>
      </c>
    </row>
    <row r="35" spans="1:12" x14ac:dyDescent="0.25">
      <c r="E35" s="6"/>
    </row>
    <row r="36" spans="1:12" x14ac:dyDescent="0.25">
      <c r="B36" t="s">
        <v>400</v>
      </c>
      <c r="C36" t="s">
        <v>409</v>
      </c>
      <c r="D36" t="s">
        <v>373</v>
      </c>
      <c r="E36" s="6">
        <f>'Table 3.28-REC Volume'!H36</f>
        <v>52304.451402086124</v>
      </c>
      <c r="F36" s="42">
        <v>1805.5295497630129</v>
      </c>
      <c r="G36" s="83">
        <f>IF(ISERROR(F36/E36),"n/a",F36/E36)</f>
        <v>3.4519615469879507E-2</v>
      </c>
      <c r="I36" s="29">
        <v>1.349903413436558</v>
      </c>
      <c r="K36" s="42">
        <f>F36*I36</f>
        <v>2437.2905022856626</v>
      </c>
      <c r="L36" s="83">
        <f>IF(ISERROR(K36/E36),"n/a",K36/E36)</f>
        <v>4.659814675330775E-2</v>
      </c>
    </row>
    <row r="37" spans="1:12" x14ac:dyDescent="0.25">
      <c r="B37" s="283"/>
      <c r="C37" s="283"/>
      <c r="D37" s="283" t="s">
        <v>279</v>
      </c>
      <c r="E37" s="10">
        <f>'Table 3.28-REC Volume'!H37</f>
        <v>158924.24524856196</v>
      </c>
      <c r="F37" s="174">
        <v>5486.0038348211838</v>
      </c>
      <c r="G37" s="172">
        <f>IF(ISERROR(F37/E37),"n/a",F37/E37)</f>
        <v>3.4519615469879507E-2</v>
      </c>
      <c r="H37" s="283"/>
      <c r="I37" s="446">
        <v>1.349903413436558</v>
      </c>
      <c r="J37" s="283"/>
      <c r="K37" s="174">
        <f>F37*I37</f>
        <v>7405.5753027511628</v>
      </c>
      <c r="L37" s="172">
        <f>IF(ISERROR(K37/E37),"n/a",K37/E37)</f>
        <v>4.6598146753307756E-2</v>
      </c>
    </row>
    <row r="38" spans="1:12" x14ac:dyDescent="0.25">
      <c r="D38" s="447" t="s">
        <v>413</v>
      </c>
      <c r="E38" s="6">
        <f>SUM(E34:E37)</f>
        <v>724601.28971575014</v>
      </c>
      <c r="F38" s="42">
        <f>SUM(F34:F37)</f>
        <v>-311.28530232294634</v>
      </c>
      <c r="G38" s="83">
        <f>IF(ISERROR(F38/E38),"n/a",F38/E38)</f>
        <v>-4.2959529156380431E-4</v>
      </c>
      <c r="K38" s="42">
        <f>SUM(K34:K37)</f>
        <v>-420.20509215837683</v>
      </c>
      <c r="L38" s="83">
        <f>IF(ISERROR(K38/E38),"n/a",K38/E38)</f>
        <v>-5.7991215047825369E-4</v>
      </c>
    </row>
    <row r="39" spans="1:12" ht="5.0999999999999996" customHeight="1" x14ac:dyDescent="0.25">
      <c r="D39" s="447"/>
      <c r="E39" s="6"/>
      <c r="F39" s="6"/>
      <c r="G39" s="83"/>
      <c r="K39" s="42"/>
      <c r="L39" s="83"/>
    </row>
    <row r="40" spans="1:12" x14ac:dyDescent="0.25">
      <c r="D40" s="447" t="s">
        <v>428</v>
      </c>
      <c r="E40" s="6">
        <f>SUM(E17,E32,E38)</f>
        <v>1818478.4919022594</v>
      </c>
      <c r="F40" s="42">
        <f>SUM(F17,F32,F38)</f>
        <v>68582.564213648555</v>
      </c>
      <c r="G40" s="83">
        <f>IF(ISERROR(F40/E40),"n/a",F40/E40)</f>
        <v>3.7714256461678718E-2</v>
      </c>
      <c r="K40" s="42">
        <f>SUM(K17,K32,K38)</f>
        <v>92579.837534236125</v>
      </c>
      <c r="L40" s="83">
        <f>IF(ISERROR(K40/E40),"n/a",K40/E40)</f>
        <v>5.0910603532841874E-2</v>
      </c>
    </row>
    <row r="41" spans="1:12" ht="5.0999999999999996" customHeight="1" x14ac:dyDescent="0.25">
      <c r="D41" s="447"/>
      <c r="E41" s="38"/>
      <c r="K41" s="449"/>
      <c r="L41" s="450"/>
    </row>
    <row r="42" spans="1:12" x14ac:dyDescent="0.25">
      <c r="D42" s="12" t="s">
        <v>418</v>
      </c>
      <c r="E42" s="64"/>
    </row>
    <row r="43" spans="1:12" x14ac:dyDescent="0.25">
      <c r="D43" s="14" t="s">
        <v>425</v>
      </c>
      <c r="E43" s="53">
        <f>'Table 3.28-REC Volume'!H43</f>
        <v>33160.127</v>
      </c>
      <c r="F43" s="42">
        <v>11590.606497111128</v>
      </c>
      <c r="G43" s="83">
        <f>IF(ISERROR(F43/E43),"n/a",F43/E43)</f>
        <v>0.34953444228700115</v>
      </c>
      <c r="I43" s="29">
        <v>1.349903413436558</v>
      </c>
      <c r="K43" s="42">
        <f>F43*I43</f>
        <v>15646.199274250259</v>
      </c>
      <c r="L43" s="83">
        <f>IF(ISERROR(K43/E43),"n/a",K43/E43)</f>
        <v>0.47183773675686641</v>
      </c>
    </row>
    <row r="44" spans="1:12" x14ac:dyDescent="0.25">
      <c r="D44" s="451" t="s">
        <v>426</v>
      </c>
      <c r="E44" s="282">
        <f>'Table 3.28-REC Volume'!H44</f>
        <v>12748.751571845673</v>
      </c>
      <c r="F44" s="174">
        <v>4456.1277705206066</v>
      </c>
      <c r="G44" s="172">
        <f>IF(ISERROR(F44/E44),"n/a",F44/E44)</f>
        <v>0.34953444228700115</v>
      </c>
      <c r="H44" s="283"/>
      <c r="I44" s="446">
        <v>1.349903413436558</v>
      </c>
      <c r="J44" s="283"/>
      <c r="K44" s="174">
        <f>F44*I44</f>
        <v>6015.3420881352058</v>
      </c>
      <c r="L44" s="172">
        <f>IF(ISERROR(K44/E44),"n/a",K44/E44)</f>
        <v>0.47183773675686647</v>
      </c>
    </row>
    <row r="45" spans="1:12" x14ac:dyDescent="0.25">
      <c r="D45" s="447" t="s">
        <v>427</v>
      </c>
      <c r="E45" s="6">
        <f>SUM(E43:E44)</f>
        <v>45908.878571845671</v>
      </c>
      <c r="F45" s="42">
        <f>SUM(F43:F44)</f>
        <v>16046.734267631735</v>
      </c>
      <c r="G45" s="83">
        <f>IF(ISERROR(F45/E45),"n/a",F45/E45)</f>
        <v>0.34953444228700115</v>
      </c>
      <c r="K45" s="42">
        <f>SUM(K43:K44)</f>
        <v>21661.541362385466</v>
      </c>
      <c r="L45" s="83">
        <f>IF(ISERROR(K45/E45),"n/a",K45/E45)</f>
        <v>0.47183773675686647</v>
      </c>
    </row>
    <row r="46" spans="1:12" ht="5.0999999999999996" customHeight="1" x14ac:dyDescent="0.25">
      <c r="D46" s="447"/>
    </row>
    <row r="47" spans="1:12" x14ac:dyDescent="0.25">
      <c r="D47" s="459" t="s">
        <v>429</v>
      </c>
      <c r="E47" s="6">
        <f>SUM(E40,E45)</f>
        <v>1864387.370474105</v>
      </c>
      <c r="F47" s="42">
        <f>SUM(F40,F45)</f>
        <v>84629.29848128029</v>
      </c>
      <c r="G47" s="83">
        <f>IF(ISERROR(F47/E47),"n/a",F47/E47)</f>
        <v>4.5392550830120379E-2</v>
      </c>
      <c r="K47" s="42">
        <f>SUM(K40,K45)</f>
        <v>114241.37889662159</v>
      </c>
      <c r="L47" s="83">
        <f>IF(ISERROR(K47/E47),"n/a",K47/E47)</f>
        <v>6.1275559310171979E-2</v>
      </c>
    </row>
    <row r="48" spans="1:12" x14ac:dyDescent="0.25">
      <c r="D48" s="447"/>
      <c r="E48" s="6"/>
      <c r="F48" s="42"/>
      <c r="G48" s="83"/>
      <c r="K48" s="42"/>
      <c r="L48" s="83"/>
    </row>
    <row r="49" spans="1:12" x14ac:dyDescent="0.25">
      <c r="D49" s="360" t="s">
        <v>476</v>
      </c>
      <c r="E49" s="362">
        <f>SUM(E8:E10,E23:E25)</f>
        <v>142533.86753570402</v>
      </c>
      <c r="F49" s="463">
        <f>SUM(F8:F10,F23:F25)</f>
        <v>4920.2142987672423</v>
      </c>
      <c r="G49" s="464">
        <f>IF(ISERROR(F49/E49),"n/a",F49/E49)</f>
        <v>3.4519615469879486E-2</v>
      </c>
      <c r="H49" s="361"/>
      <c r="I49" s="465">
        <v>1.349903413436558</v>
      </c>
      <c r="J49" s="361"/>
      <c r="K49" s="463">
        <f>F49*I49</f>
        <v>6641.8140767452605</v>
      </c>
      <c r="L49" s="466">
        <f>IF(ISERROR(K49/E49),"n/a",K49/E49)</f>
        <v>4.6598146753307729E-2</v>
      </c>
    </row>
    <row r="50" spans="1:12" x14ac:dyDescent="0.25">
      <c r="D50" s="467" t="s">
        <v>400</v>
      </c>
      <c r="E50" s="10">
        <f>SUM(E15:E16,E30:E31,E36:E37)</f>
        <v>226842.31236329296</v>
      </c>
      <c r="F50" s="174">
        <f>SUM(F15:F16,F30:F31,F36:F37)</f>
        <v>7830.509395079167</v>
      </c>
      <c r="G50" s="172">
        <f>IF(ISERROR(F50/E50),"n/a",F50/E50)</f>
        <v>3.4519615469879507E-2</v>
      </c>
      <c r="H50" s="283"/>
      <c r="I50" s="446">
        <v>1.349903413436558</v>
      </c>
      <c r="J50" s="283"/>
      <c r="K50" s="174">
        <f>F50*I50</f>
        <v>10570.431361364404</v>
      </c>
      <c r="L50" s="468">
        <f>IF(ISERROR(K50/E50),"n/a",K50/E50)</f>
        <v>4.6598146753307756E-2</v>
      </c>
    </row>
    <row r="51" spans="1:12" hidden="1" x14ac:dyDescent="0.25">
      <c r="A51" s="25"/>
    </row>
    <row r="52" spans="1:12" hidden="1" x14ac:dyDescent="0.25">
      <c r="A52" s="25"/>
      <c r="D52" s="14" t="s">
        <v>191</v>
      </c>
      <c r="E52" s="143">
        <f>E17-'Table 3.28-REC Volume'!H17</f>
        <v>0</v>
      </c>
      <c r="F52" s="143">
        <v>0</v>
      </c>
      <c r="J52" s="14" t="s">
        <v>191</v>
      </c>
      <c r="K52" s="143">
        <f>K47/F47-I44</f>
        <v>0</v>
      </c>
      <c r="L52" s="143">
        <f>L47/G47-I44</f>
        <v>0</v>
      </c>
    </row>
    <row r="53" spans="1:12" hidden="1" x14ac:dyDescent="0.25">
      <c r="A53" s="25"/>
      <c r="E53" s="143">
        <f>E32-'Table 3.28-REC Volume'!H32</f>
        <v>0</v>
      </c>
      <c r="F53" s="143">
        <v>0</v>
      </c>
    </row>
    <row r="54" spans="1:12" hidden="1" x14ac:dyDescent="0.25">
      <c r="E54" s="143">
        <f>E38-'Table 3.28-REC Volume'!H38</f>
        <v>0</v>
      </c>
      <c r="F54" s="143">
        <v>0</v>
      </c>
    </row>
    <row r="55" spans="1:12" hidden="1" x14ac:dyDescent="0.25">
      <c r="E55" s="143">
        <f>E45-'Table 3.28-REC Volume'!H45</f>
        <v>0</v>
      </c>
      <c r="F55" s="143">
        <v>0</v>
      </c>
    </row>
    <row r="56" spans="1:12" hidden="1" x14ac:dyDescent="0.25">
      <c r="E56" s="143">
        <f>E47-'Table 3.28-REC Volume'!H47</f>
        <v>0</v>
      </c>
      <c r="F56" s="240"/>
    </row>
    <row r="57" spans="1:12" x14ac:dyDescent="0.25">
      <c r="A57" s="141"/>
      <c r="B57" s="283"/>
      <c r="C57" s="293"/>
    </row>
    <row r="58" spans="1:12" x14ac:dyDescent="0.25">
      <c r="A58" s="11" t="s">
        <v>235</v>
      </c>
      <c r="C58" s="64"/>
    </row>
    <row r="59" spans="1:12" x14ac:dyDescent="0.25">
      <c r="A59" s="12" t="s">
        <v>699</v>
      </c>
      <c r="C59" s="64"/>
    </row>
    <row r="60" spans="1:12" x14ac:dyDescent="0.25">
      <c r="A60" s="25" t="s">
        <v>810</v>
      </c>
    </row>
    <row r="61" spans="1:12" x14ac:dyDescent="0.25">
      <c r="A61" s="25" t="s">
        <v>808</v>
      </c>
    </row>
    <row r="62" spans="1:12" x14ac:dyDescent="0.25">
      <c r="A62" s="24" t="s">
        <v>414</v>
      </c>
    </row>
    <row r="63" spans="1:12" x14ac:dyDescent="0.25">
      <c r="A63" s="25" t="s">
        <v>7</v>
      </c>
    </row>
    <row r="64" spans="1:12" x14ac:dyDescent="0.25">
      <c r="A64" s="25" t="s">
        <v>656</v>
      </c>
    </row>
    <row r="65" spans="1:1" x14ac:dyDescent="0.25">
      <c r="A65" s="25" t="s">
        <v>8</v>
      </c>
    </row>
    <row r="66" spans="1:1" x14ac:dyDescent="0.25">
      <c r="A66" s="25" t="s">
        <v>657</v>
      </c>
    </row>
    <row r="67" spans="1:1" x14ac:dyDescent="0.25">
      <c r="A67" s="12" t="s">
        <v>24</v>
      </c>
    </row>
  </sheetData>
  <phoneticPr fontId="5" type="noConversion"/>
  <printOptions horizontalCentered="1"/>
  <pageMargins left="0.75" right="0.75" top="1" bottom="1" header="0.5" footer="0.5"/>
  <pageSetup scale="62" orientation="landscape" r:id="rId1"/>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M67"/>
  <sheetViews>
    <sheetView zoomScale="70" workbookViewId="0"/>
  </sheetViews>
  <sheetFormatPr defaultRowHeight="13.2" x14ac:dyDescent="0.25"/>
  <cols>
    <col min="1" max="1" width="27.109375" customWidth="1"/>
    <col min="2" max="2" width="9.6640625" customWidth="1"/>
    <col min="3" max="3" width="25.6640625" customWidth="1"/>
    <col min="4" max="4" width="18.33203125" customWidth="1"/>
    <col min="5" max="7" width="11.6640625" customWidth="1"/>
    <col min="8" max="8" width="3.6640625" customWidth="1"/>
    <col min="9" max="9" width="11.6640625" customWidth="1"/>
    <col min="10" max="10" width="3.6640625" customWidth="1"/>
    <col min="11" max="12" width="11.6640625" customWidth="1"/>
  </cols>
  <sheetData>
    <row r="1" spans="1:13" ht="15.6" x14ac:dyDescent="0.3">
      <c r="A1" s="158" t="s">
        <v>674</v>
      </c>
      <c r="B1" s="158"/>
      <c r="C1" s="158"/>
      <c r="D1" s="158"/>
    </row>
    <row r="2" spans="1:13" ht="15.6" x14ac:dyDescent="0.3">
      <c r="A2" s="158" t="s">
        <v>787</v>
      </c>
      <c r="B2" s="443"/>
      <c r="C2" s="443"/>
      <c r="D2" s="443"/>
    </row>
    <row r="3" spans="1:13" ht="39.6" x14ac:dyDescent="0.25">
      <c r="A3" s="444" t="s">
        <v>396</v>
      </c>
      <c r="B3" s="445" t="s">
        <v>399</v>
      </c>
      <c r="C3" s="444" t="s">
        <v>397</v>
      </c>
      <c r="D3" s="444" t="s">
        <v>348</v>
      </c>
      <c r="E3" s="168" t="s">
        <v>432</v>
      </c>
      <c r="F3" s="189" t="s">
        <v>403</v>
      </c>
      <c r="G3" s="8" t="s">
        <v>104</v>
      </c>
      <c r="H3" s="8"/>
      <c r="I3" s="199" t="s">
        <v>404</v>
      </c>
      <c r="J3" s="87"/>
      <c r="K3" s="160" t="s">
        <v>415</v>
      </c>
      <c r="L3" s="41" t="s">
        <v>133</v>
      </c>
      <c r="M3" s="11"/>
    </row>
    <row r="4" spans="1:13" x14ac:dyDescent="0.25">
      <c r="A4" s="25" t="s">
        <v>410</v>
      </c>
      <c r="B4" t="s">
        <v>407</v>
      </c>
      <c r="C4" t="s">
        <v>398</v>
      </c>
      <c r="D4" t="s">
        <v>278</v>
      </c>
      <c r="E4" s="6">
        <v>0</v>
      </c>
      <c r="F4" s="42">
        <v>0</v>
      </c>
      <c r="G4" s="83" t="str">
        <f>IF(ISERROR(F4/E4),"n/a",F4/E4)</f>
        <v>n/a</v>
      </c>
      <c r="I4" s="29">
        <v>1.349903413436558</v>
      </c>
      <c r="K4" s="42">
        <f>F4*I4</f>
        <v>0</v>
      </c>
      <c r="L4" s="83" t="str">
        <f>IF(ISERROR(K4/E4),"n/a",K4/E4)</f>
        <v>n/a</v>
      </c>
    </row>
    <row r="5" spans="1:13" x14ac:dyDescent="0.25">
      <c r="D5" t="s">
        <v>373</v>
      </c>
      <c r="E5" s="6">
        <v>0</v>
      </c>
      <c r="F5" s="42">
        <v>0</v>
      </c>
      <c r="G5" s="83" t="str">
        <f>IF(ISERROR(F5/E5),"n/a",F5/E5)</f>
        <v>n/a</v>
      </c>
      <c r="I5" s="29">
        <v>1.349903413436558</v>
      </c>
      <c r="K5" s="42">
        <f>F5*I5</f>
        <v>0</v>
      </c>
      <c r="L5" s="83" t="str">
        <f>IF(ISERROR(K5/E5),"n/a",K5/E5)</f>
        <v>n/a</v>
      </c>
    </row>
    <row r="6" spans="1:13" x14ac:dyDescent="0.25">
      <c r="D6" t="s">
        <v>279</v>
      </c>
      <c r="E6" s="6">
        <v>0</v>
      </c>
      <c r="F6" s="42">
        <v>0</v>
      </c>
      <c r="G6" s="83" t="str">
        <f>IF(ISERROR(F6/E6),"n/a",F6/E6)</f>
        <v>n/a</v>
      </c>
      <c r="I6" s="29">
        <v>1.349903413436558</v>
      </c>
      <c r="K6" s="42">
        <f>F6*I6</f>
        <v>0</v>
      </c>
      <c r="L6" s="83" t="str">
        <f>IF(ISERROR(K6/E6),"n/a",K6/E6)</f>
        <v>n/a</v>
      </c>
    </row>
    <row r="7" spans="1:13" x14ac:dyDescent="0.25">
      <c r="E7" s="6"/>
    </row>
    <row r="8" spans="1:13" x14ac:dyDescent="0.25">
      <c r="B8" t="s">
        <v>476</v>
      </c>
      <c r="C8" t="s">
        <v>398</v>
      </c>
      <c r="D8" t="s">
        <v>278</v>
      </c>
      <c r="E8" s="6">
        <f>'Table 3.28-REC Volume'!H8</f>
        <v>51881.891494605661</v>
      </c>
      <c r="F8" s="42">
        <v>3370.9726361166904</v>
      </c>
      <c r="G8" s="83">
        <f>IF(ISERROR(F8/E8),"n/a",F8/E8)</f>
        <v>6.4973973365392471E-2</v>
      </c>
      <c r="I8" s="29">
        <v>1.349903413436558</v>
      </c>
      <c r="K8" s="42">
        <f>F8*I8</f>
        <v>4550.4874680951525</v>
      </c>
      <c r="L8" s="83">
        <f>IF(ISERROR(K8/E8),"n/a",K8/E8)</f>
        <v>8.7708588430479295E-2</v>
      </c>
    </row>
    <row r="9" spans="1:13" x14ac:dyDescent="0.25">
      <c r="D9" t="s">
        <v>373</v>
      </c>
      <c r="E9" s="6">
        <f>'Table 3.28-REC Volume'!H9</f>
        <v>3209.7857311688617</v>
      </c>
      <c r="F9" s="42">
        <v>208.55253260558243</v>
      </c>
      <c r="G9" s="83">
        <f>IF(ISERROR(F9/E9),"n/a",F9/E9)</f>
        <v>6.4973973365392471E-2</v>
      </c>
      <c r="I9" s="29">
        <v>1.349903413436558</v>
      </c>
      <c r="K9" s="42">
        <f>F9*I9</f>
        <v>281.52577564511478</v>
      </c>
      <c r="L9" s="83">
        <f>IF(ISERROR(K9/E9),"n/a",K9/E9)</f>
        <v>8.7708588430479309E-2</v>
      </c>
    </row>
    <row r="10" spans="1:13" x14ac:dyDescent="0.25">
      <c r="D10" t="s">
        <v>279</v>
      </c>
      <c r="E10" s="6">
        <f>'Table 3.28-REC Volume'!H10</f>
        <v>76650.540555505475</v>
      </c>
      <c r="F10" s="42">
        <v>4980.2901804963485</v>
      </c>
      <c r="G10" s="83">
        <f>IF(ISERROR(F10/E10),"n/a",F10/E10)</f>
        <v>6.4973973365392471E-2</v>
      </c>
      <c r="I10" s="29">
        <v>1.349903413436558</v>
      </c>
      <c r="K10" s="42">
        <f>F10*I10</f>
        <v>6722.9107145565922</v>
      </c>
      <c r="L10" s="83">
        <f>IF(ISERROR(K10/E10),"n/a",K10/E10)</f>
        <v>8.7708588430479309E-2</v>
      </c>
    </row>
    <row r="11" spans="1:13" x14ac:dyDescent="0.25">
      <c r="E11" s="6"/>
    </row>
    <row r="12" spans="1:13" x14ac:dyDescent="0.25">
      <c r="B12" t="s">
        <v>407</v>
      </c>
      <c r="C12" s="12" t="s">
        <v>48</v>
      </c>
      <c r="D12" t="s">
        <v>373</v>
      </c>
      <c r="E12" s="6">
        <v>0</v>
      </c>
      <c r="F12" s="42">
        <v>0</v>
      </c>
      <c r="G12" s="83" t="str">
        <f>IF(ISERROR(F12/E12),"n/a",F12/E12)</f>
        <v>n/a</v>
      </c>
      <c r="I12" s="29">
        <v>1.349903413436558</v>
      </c>
      <c r="K12" s="42">
        <f>F12*I12</f>
        <v>0</v>
      </c>
      <c r="L12" s="83" t="str">
        <f>IF(ISERROR(K12/E12),"n/a",K12/E12)</f>
        <v>n/a</v>
      </c>
    </row>
    <row r="13" spans="1:13" x14ac:dyDescent="0.25">
      <c r="C13" s="12" t="s">
        <v>655</v>
      </c>
      <c r="D13" t="s">
        <v>279</v>
      </c>
      <c r="E13" s="6">
        <v>0</v>
      </c>
      <c r="F13" s="42">
        <v>0</v>
      </c>
      <c r="G13" s="83" t="str">
        <f>IF(ISERROR(F13/E13),"n/a",F13/E13)</f>
        <v>n/a</v>
      </c>
      <c r="I13" s="29">
        <v>1.349903413436558</v>
      </c>
      <c r="K13" s="42">
        <f>F13*I13</f>
        <v>0</v>
      </c>
      <c r="L13" s="83" t="str">
        <f>IF(ISERROR(K13/E13),"n/a",K13/E13)</f>
        <v>n/a</v>
      </c>
    </row>
    <row r="14" spans="1:13" x14ac:dyDescent="0.25">
      <c r="E14" s="6"/>
    </row>
    <row r="15" spans="1:13" x14ac:dyDescent="0.25">
      <c r="B15" t="s">
        <v>400</v>
      </c>
      <c r="C15" s="12" t="s">
        <v>48</v>
      </c>
      <c r="D15" t="s">
        <v>373</v>
      </c>
      <c r="E15" s="6">
        <f>'Table 3.28-REC Volume'!H15</f>
        <v>2251.1119533941783</v>
      </c>
      <c r="F15" s="42">
        <v>146.26368810234996</v>
      </c>
      <c r="G15" s="83">
        <f>IF(ISERROR(F15/E15),"n/a",F15/E15)</f>
        <v>6.4973973365392471E-2</v>
      </c>
      <c r="I15" s="29">
        <v>1.349903413436558</v>
      </c>
      <c r="K15" s="42">
        <f>F15*I15</f>
        <v>197.44185183118228</v>
      </c>
      <c r="L15" s="83">
        <f>IF(ISERROR(K15/E15),"n/a",K15/E15)</f>
        <v>8.7708588430479295E-2</v>
      </c>
    </row>
    <row r="16" spans="1:13" x14ac:dyDescent="0.25">
      <c r="B16" s="283"/>
      <c r="C16" s="325" t="s">
        <v>48</v>
      </c>
      <c r="D16" s="283" t="s">
        <v>279</v>
      </c>
      <c r="E16" s="10">
        <f>'Table 3.28-REC Volume'!H16</f>
        <v>12180.351930466399</v>
      </c>
      <c r="F16" s="174">
        <v>791.40586191123066</v>
      </c>
      <c r="G16" s="172">
        <f>IF(ISERROR(F16/E16),"n/a",F16/E16)</f>
        <v>6.4973973365392484E-2</v>
      </c>
      <c r="H16" s="283"/>
      <c r="I16" s="446">
        <v>1.349903413436558</v>
      </c>
      <c r="J16" s="283"/>
      <c r="K16" s="174">
        <f>F16*I16</f>
        <v>1068.3214744076715</v>
      </c>
      <c r="L16" s="172">
        <f>IF(ISERROR(K16/E16),"n/a",K16/E16)</f>
        <v>8.7708588430479309E-2</v>
      </c>
    </row>
    <row r="17" spans="1:12" x14ac:dyDescent="0.25">
      <c r="D17" s="447" t="s">
        <v>406</v>
      </c>
      <c r="E17" s="6">
        <f>SUM(E4:E16)</f>
        <v>146173.68166514055</v>
      </c>
      <c r="F17" s="42">
        <f>SUM(F4:F16)</f>
        <v>9497.4848992322022</v>
      </c>
      <c r="G17" s="83">
        <f>IF(ISERROR(F17/E17),"n/a",F17/E17)</f>
        <v>6.4973973365392484E-2</v>
      </c>
      <c r="K17" s="42">
        <f>SUM(K4:K16)</f>
        <v>12820.687284535714</v>
      </c>
      <c r="L17" s="83">
        <f>IF(ISERROR(K17/E17),"n/a",K17/E17)</f>
        <v>8.7708588430479323E-2</v>
      </c>
    </row>
    <row r="18" spans="1:12" ht="5.0999999999999996" customHeight="1" x14ac:dyDescent="0.25"/>
    <row r="19" spans="1:12" x14ac:dyDescent="0.25">
      <c r="A19" s="25" t="s">
        <v>411</v>
      </c>
      <c r="B19" t="s">
        <v>407</v>
      </c>
      <c r="C19" t="s">
        <v>398</v>
      </c>
      <c r="D19" t="s">
        <v>278</v>
      </c>
      <c r="E19" s="6">
        <v>0</v>
      </c>
      <c r="F19" s="42">
        <v>0</v>
      </c>
      <c r="G19" s="83" t="str">
        <f>IF(ISERROR(F19/E19),"n/a",F19/E19)</f>
        <v>n/a</v>
      </c>
      <c r="I19" s="29">
        <v>1.349903413436558</v>
      </c>
      <c r="K19" s="42">
        <f>F19*I19</f>
        <v>0</v>
      </c>
      <c r="L19" s="83" t="str">
        <f>IF(ISERROR(K19/E19),"n/a",K19/E19)</f>
        <v>n/a</v>
      </c>
    </row>
    <row r="20" spans="1:12" x14ac:dyDescent="0.25">
      <c r="D20" t="s">
        <v>373</v>
      </c>
      <c r="E20" s="6">
        <v>0</v>
      </c>
      <c r="F20" s="42">
        <v>0</v>
      </c>
      <c r="G20" s="83" t="str">
        <f>IF(ISERROR(F20/E20),"n/a",F20/E20)</f>
        <v>n/a</v>
      </c>
      <c r="I20" s="29">
        <v>1.349903413436558</v>
      </c>
      <c r="K20" s="42">
        <f>F20*I20</f>
        <v>0</v>
      </c>
      <c r="L20" s="83" t="str">
        <f>IF(ISERROR(K20/E20),"n/a",K20/E20)</f>
        <v>n/a</v>
      </c>
    </row>
    <row r="21" spans="1:12" x14ac:dyDescent="0.25">
      <c r="D21" t="s">
        <v>279</v>
      </c>
      <c r="E21" s="6">
        <v>0</v>
      </c>
      <c r="F21" s="42">
        <v>0</v>
      </c>
      <c r="G21" s="83" t="str">
        <f>IF(ISERROR(F21/E21),"n/a",F21/E21)</f>
        <v>n/a</v>
      </c>
      <c r="I21" s="29">
        <v>1.349903413436558</v>
      </c>
      <c r="K21" s="42">
        <f>F21*I21</f>
        <v>0</v>
      </c>
      <c r="L21" s="83" t="str">
        <f>IF(ISERROR(K21/E21),"n/a",K21/E21)</f>
        <v>n/a</v>
      </c>
    </row>
    <row r="22" spans="1:12" x14ac:dyDescent="0.25">
      <c r="E22" s="6"/>
    </row>
    <row r="23" spans="1:12" x14ac:dyDescent="0.25">
      <c r="B23" t="s">
        <v>476</v>
      </c>
      <c r="C23" t="s">
        <v>398</v>
      </c>
      <c r="D23" t="s">
        <v>278</v>
      </c>
      <c r="E23" s="6">
        <f>'Table 3.28-REC Volume'!H23</f>
        <v>4249.8996224304665</v>
      </c>
      <c r="F23" s="42">
        <v>276.1328648733886</v>
      </c>
      <c r="G23" s="83">
        <f>IF(ISERROR(F23/E23),"n/a",F23/E23)</f>
        <v>6.4973973365392457E-2</v>
      </c>
      <c r="I23" s="29">
        <v>1.349903413436558</v>
      </c>
      <c r="K23" s="42">
        <f>F23*I23</f>
        <v>372.75269685460307</v>
      </c>
      <c r="L23" s="83">
        <f>IF(ISERROR(K23/E23),"n/a",K23/E23)</f>
        <v>8.7708588430479281E-2</v>
      </c>
    </row>
    <row r="24" spans="1:12" x14ac:dyDescent="0.25">
      <c r="D24" t="s">
        <v>373</v>
      </c>
      <c r="E24" s="6">
        <f>'Table 3.28-REC Volume'!H24</f>
        <v>262.92925670213043</v>
      </c>
      <c r="F24" s="42">
        <v>17.083558521946664</v>
      </c>
      <c r="G24" s="83">
        <f>IF(ISERROR(F24/E24),"n/a",F24/E24)</f>
        <v>6.4973973365392471E-2</v>
      </c>
      <c r="I24" s="29">
        <v>1.349903413436558</v>
      </c>
      <c r="K24" s="42">
        <f>F24*I24</f>
        <v>23.061153962418999</v>
      </c>
      <c r="L24" s="83">
        <f>IF(ISERROR(K24/E24),"n/a",K24/E24)</f>
        <v>8.7708588430479295E-2</v>
      </c>
    </row>
    <row r="25" spans="1:12" x14ac:dyDescent="0.25">
      <c r="D25" t="s">
        <v>279</v>
      </c>
      <c r="E25" s="6">
        <f>'Table 3.28-REC Volume'!H25</f>
        <v>6278.8208752914115</v>
      </c>
      <c r="F25" s="42">
        <v>407.95994031725445</v>
      </c>
      <c r="G25" s="83">
        <f>IF(ISERROR(F25/E25),"n/a",F25/E25)</f>
        <v>6.4973973365392471E-2</v>
      </c>
      <c r="I25" s="29">
        <v>1.349903413436558</v>
      </c>
      <c r="K25" s="42">
        <f>F25*I25</f>
        <v>550.70651597963627</v>
      </c>
      <c r="L25" s="83">
        <f>IF(ISERROR(K25/E25),"n/a",K25/E25)</f>
        <v>8.7708588430479309E-2</v>
      </c>
    </row>
    <row r="26" spans="1:12" x14ac:dyDescent="0.25">
      <c r="E26" s="6"/>
    </row>
    <row r="27" spans="1:12" x14ac:dyDescent="0.25">
      <c r="B27" t="s">
        <v>407</v>
      </c>
      <c r="C27" s="12" t="s">
        <v>48</v>
      </c>
      <c r="D27" s="12" t="s">
        <v>433</v>
      </c>
      <c r="E27" s="6">
        <v>0</v>
      </c>
      <c r="F27" s="42">
        <v>0</v>
      </c>
      <c r="G27" s="83" t="str">
        <f>IF(ISERROR(F27/E27),"n/a",F27/E27)</f>
        <v>n/a</v>
      </c>
      <c r="I27" s="29">
        <v>1.349903413436558</v>
      </c>
      <c r="K27" s="42">
        <f>F27*I27</f>
        <v>0</v>
      </c>
      <c r="L27" s="83" t="str">
        <f>IF(ISERROR(K27/E27),"n/a",K27/E27)</f>
        <v>n/a</v>
      </c>
    </row>
    <row r="28" spans="1:12" x14ac:dyDescent="0.25">
      <c r="C28" s="12" t="s">
        <v>655</v>
      </c>
      <c r="D28" t="s">
        <v>279</v>
      </c>
      <c r="E28" s="6">
        <v>0</v>
      </c>
      <c r="F28" s="42">
        <v>0</v>
      </c>
      <c r="G28" s="83" t="str">
        <f>IF(ISERROR(F28/E28),"n/a",F28/E28)</f>
        <v>n/a</v>
      </c>
      <c r="I28" s="29">
        <v>1.349903413436558</v>
      </c>
      <c r="K28" s="42">
        <f>F28*I28</f>
        <v>0</v>
      </c>
      <c r="L28" s="83" t="str">
        <f>IF(ISERROR(K28/E28),"n/a",K28/E28)</f>
        <v>n/a</v>
      </c>
    </row>
    <row r="29" spans="1:12" x14ac:dyDescent="0.25">
      <c r="E29" s="6"/>
    </row>
    <row r="30" spans="1:12" x14ac:dyDescent="0.25">
      <c r="B30" t="s">
        <v>400</v>
      </c>
      <c r="C30" s="12" t="s">
        <v>48</v>
      </c>
      <c r="D30" t="s">
        <v>373</v>
      </c>
      <c r="E30" s="6">
        <f>'Table 3.28-REC Volume'!H30</f>
        <v>184.39959618228929</v>
      </c>
      <c r="F30" s="42">
        <v>11.981174450937193</v>
      </c>
      <c r="G30" s="83">
        <f>IF(ISERROR(F30/E30),"n/a",F30/E30)</f>
        <v>6.4973973365392484E-2</v>
      </c>
      <c r="I30" s="29">
        <v>1.349903413436558</v>
      </c>
      <c r="K30" s="42">
        <f>F30*I30</f>
        <v>16.173428288298993</v>
      </c>
      <c r="L30" s="83">
        <f>IF(ISERROR(K30/E30),"n/a",K30/E30)</f>
        <v>8.7708588430479295E-2</v>
      </c>
    </row>
    <row r="31" spans="1:12" x14ac:dyDescent="0.25">
      <c r="B31" s="283"/>
      <c r="C31" s="325" t="s">
        <v>48</v>
      </c>
      <c r="D31" s="283" t="s">
        <v>279</v>
      </c>
      <c r="E31" s="10">
        <f>'Table 3.28-REC Volume'!H31</f>
        <v>997.75223260203575</v>
      </c>
      <c r="F31" s="174">
        <v>64.82792698634556</v>
      </c>
      <c r="G31" s="172">
        <f>IF(ISERROR(F31/E31),"n/a",F31/E31)</f>
        <v>6.4973973365392484E-2</v>
      </c>
      <c r="H31" s="283"/>
      <c r="I31" s="446">
        <v>1.349903413436558</v>
      </c>
      <c r="J31" s="283"/>
      <c r="K31" s="174">
        <f>F31*I31</f>
        <v>87.511439924883817</v>
      </c>
      <c r="L31" s="172">
        <f>IF(ISERROR(K31/E31),"n/a",K31/E31)</f>
        <v>8.7708588430479309E-2</v>
      </c>
    </row>
    <row r="32" spans="1:12" x14ac:dyDescent="0.25">
      <c r="D32" s="447" t="s">
        <v>405</v>
      </c>
      <c r="E32" s="6">
        <f>SUM(E19:E31)</f>
        <v>11973.801583208333</v>
      </c>
      <c r="F32" s="42">
        <f>SUM(F19:F31)</f>
        <v>777.98546514987243</v>
      </c>
      <c r="G32" s="83">
        <f>IF(ISERROR(F32/E32),"n/a",F32/E32)</f>
        <v>6.4973973365392471E-2</v>
      </c>
      <c r="K32" s="42">
        <f>SUM(K19:K31)</f>
        <v>1050.2052350098411</v>
      </c>
      <c r="L32" s="83">
        <f>IF(ISERROR(K32/E32),"n/a",K32/E32)</f>
        <v>8.7708588430479295E-2</v>
      </c>
    </row>
    <row r="33" spans="1:12" ht="5.0999999999999996" customHeight="1" x14ac:dyDescent="0.25"/>
    <row r="34" spans="1:12" x14ac:dyDescent="0.25">
      <c r="A34" s="25" t="s">
        <v>412</v>
      </c>
      <c r="B34" t="s">
        <v>407</v>
      </c>
      <c r="C34" s="12" t="s">
        <v>409</v>
      </c>
      <c r="D34" s="12" t="s">
        <v>433</v>
      </c>
      <c r="E34" s="6">
        <v>0</v>
      </c>
      <c r="F34" s="42">
        <v>0</v>
      </c>
      <c r="G34" s="83" t="str">
        <f>IF(ISERROR(F34/E34),"n/a",F34/E34)</f>
        <v>n/a</v>
      </c>
      <c r="I34" s="29">
        <v>1.349903413436558</v>
      </c>
      <c r="K34" s="42">
        <f>F34*I34</f>
        <v>0</v>
      </c>
      <c r="L34" s="83" t="str">
        <f>IF(ISERROR(K34/E34),"n/a",K34/E34)</f>
        <v>n/a</v>
      </c>
    </row>
    <row r="35" spans="1:12" x14ac:dyDescent="0.25">
      <c r="E35" s="6"/>
    </row>
    <row r="36" spans="1:12" x14ac:dyDescent="0.25">
      <c r="B36" t="s">
        <v>400</v>
      </c>
      <c r="C36" t="s">
        <v>409</v>
      </c>
      <c r="D36" t="s">
        <v>373</v>
      </c>
      <c r="E36" s="6">
        <f>'Table 3.28-REC Volume'!H36</f>
        <v>52304.451402086124</v>
      </c>
      <c r="F36" s="42">
        <v>3398.4280322906093</v>
      </c>
      <c r="G36" s="83">
        <f>IF(ISERROR(F36/E36),"n/a",F36/E36)</f>
        <v>6.4973973365392484E-2</v>
      </c>
      <c r="I36" s="29">
        <v>1.349903413436558</v>
      </c>
      <c r="K36" s="42">
        <f>F36*I36</f>
        <v>4587.5496011075784</v>
      </c>
      <c r="L36" s="83">
        <f>IF(ISERROR(K36/E36),"n/a",K36/E36)</f>
        <v>8.7708588430479309E-2</v>
      </c>
    </row>
    <row r="37" spans="1:12" x14ac:dyDescent="0.25">
      <c r="B37" s="283"/>
      <c r="C37" s="283"/>
      <c r="D37" s="283" t="s">
        <v>279</v>
      </c>
      <c r="E37" s="10">
        <f>'Table 3.28-REC Volume'!H37</f>
        <v>158924.24524856196</v>
      </c>
      <c r="F37" s="174">
        <v>10325.939677895169</v>
      </c>
      <c r="G37" s="172">
        <f>IF(ISERROR(F37/E37),"n/a",F37/E37)</f>
        <v>6.4973973365392484E-2</v>
      </c>
      <c r="H37" s="283"/>
      <c r="I37" s="446">
        <v>1.349903413436558</v>
      </c>
      <c r="J37" s="283"/>
      <c r="K37" s="174">
        <f>F37*I37</f>
        <v>13939.02121813068</v>
      </c>
      <c r="L37" s="172">
        <f>IF(ISERROR(K37/E37),"n/a",K37/E37)</f>
        <v>8.7708588430479323E-2</v>
      </c>
    </row>
    <row r="38" spans="1:12" x14ac:dyDescent="0.25">
      <c r="D38" s="447" t="s">
        <v>413</v>
      </c>
      <c r="E38" s="6">
        <f>SUM(E34:E37)</f>
        <v>211228.69665064808</v>
      </c>
      <c r="F38" s="42">
        <f>SUM(F34:F37)</f>
        <v>13724.367710185777</v>
      </c>
      <c r="G38" s="83">
        <f>IF(ISERROR(F38/E38),"n/a",F38/E38)</f>
        <v>6.4973973365392484E-2</v>
      </c>
      <c r="K38" s="42">
        <f>SUM(K34:K37)</f>
        <v>18526.570819238259</v>
      </c>
      <c r="L38" s="83">
        <f>IF(ISERROR(K38/E38),"n/a",K38/E38)</f>
        <v>8.7708588430479323E-2</v>
      </c>
    </row>
    <row r="39" spans="1:12" ht="5.0999999999999996" customHeight="1" x14ac:dyDescent="0.25">
      <c r="D39" s="447"/>
      <c r="E39" s="6"/>
      <c r="F39" s="6"/>
      <c r="G39" s="83"/>
      <c r="K39" s="42"/>
      <c r="L39" s="83"/>
    </row>
    <row r="40" spans="1:12" x14ac:dyDescent="0.25">
      <c r="D40" s="447" t="s">
        <v>428</v>
      </c>
      <c r="E40" s="6">
        <f>SUM(E17,E32,E38)</f>
        <v>369376.17989899695</v>
      </c>
      <c r="F40" s="42">
        <f>SUM(F17,F32,F38)</f>
        <v>23999.838074567851</v>
      </c>
      <c r="G40" s="83">
        <f>IF(ISERROR(F40/E40),"n/a",F40/E40)</f>
        <v>6.4973973365392484E-2</v>
      </c>
      <c r="K40" s="42">
        <f>SUM(K17,K32,K38)</f>
        <v>32397.463338783815</v>
      </c>
      <c r="L40" s="83">
        <f>IF(ISERROR(K40/E40),"n/a",K40/E40)</f>
        <v>8.7708588430479323E-2</v>
      </c>
    </row>
    <row r="41" spans="1:12" ht="5.0999999999999996" customHeight="1" x14ac:dyDescent="0.25">
      <c r="D41" s="447"/>
      <c r="E41" s="38"/>
      <c r="K41" s="449"/>
      <c r="L41" s="450"/>
    </row>
    <row r="42" spans="1:12" x14ac:dyDescent="0.25">
      <c r="D42" s="12" t="s">
        <v>418</v>
      </c>
      <c r="E42" s="64"/>
    </row>
    <row r="43" spans="1:12" x14ac:dyDescent="0.25">
      <c r="D43" s="14" t="s">
        <v>425</v>
      </c>
      <c r="E43" s="53">
        <v>0</v>
      </c>
      <c r="F43" s="42">
        <v>0</v>
      </c>
      <c r="G43" s="83" t="str">
        <f>IF(ISERROR(F43/E43),"n/a",F43/E43)</f>
        <v>n/a</v>
      </c>
      <c r="I43" s="29">
        <v>1.349903413436558</v>
      </c>
      <c r="K43" s="42">
        <f>F43*I43</f>
        <v>0</v>
      </c>
      <c r="L43" s="83" t="str">
        <f>IF(ISERROR(K43/E43),"n/a",K43/E43)</f>
        <v>n/a</v>
      </c>
    </row>
    <row r="44" spans="1:12" x14ac:dyDescent="0.25">
      <c r="D44" s="451" t="s">
        <v>426</v>
      </c>
      <c r="E44" s="282">
        <v>0</v>
      </c>
      <c r="F44" s="174">
        <v>0</v>
      </c>
      <c r="G44" s="172" t="str">
        <f>IF(ISERROR(F44/E44),"n/a",F44/E44)</f>
        <v>n/a</v>
      </c>
      <c r="H44" s="283"/>
      <c r="I44" s="446">
        <v>1.349903413436558</v>
      </c>
      <c r="J44" s="283"/>
      <c r="K44" s="174">
        <f>F44*I44</f>
        <v>0</v>
      </c>
      <c r="L44" s="172" t="str">
        <f>IF(ISERROR(K44/E44),"n/a",K44/E44)</f>
        <v>n/a</v>
      </c>
    </row>
    <row r="45" spans="1:12" x14ac:dyDescent="0.25">
      <c r="D45" s="447" t="s">
        <v>427</v>
      </c>
      <c r="E45" s="6">
        <f>SUM(E43:E44)</f>
        <v>0</v>
      </c>
      <c r="F45" s="42">
        <f>SUM(F43:F44)</f>
        <v>0</v>
      </c>
      <c r="G45" s="83" t="str">
        <f>IF(ISERROR(F45/E45),"n/a",F45/E45)</f>
        <v>n/a</v>
      </c>
      <c r="K45" s="42">
        <f>SUM(K43:K44)</f>
        <v>0</v>
      </c>
      <c r="L45" s="83" t="str">
        <f>IF(ISERROR(K45/E45),"n/a",K45/E45)</f>
        <v>n/a</v>
      </c>
    </row>
    <row r="46" spans="1:12" ht="5.0999999999999996" customHeight="1" x14ac:dyDescent="0.25">
      <c r="D46" s="447"/>
    </row>
    <row r="47" spans="1:12" x14ac:dyDescent="0.25">
      <c r="D47" s="459" t="s">
        <v>429</v>
      </c>
      <c r="E47" s="6">
        <f>SUM(E40,E45)</f>
        <v>369376.17989899695</v>
      </c>
      <c r="F47" s="42">
        <f>SUM(F40,F45)</f>
        <v>23999.838074567851</v>
      </c>
      <c r="G47" s="83">
        <f>IF(ISERROR(F47/E47),"n/a",F47/E47)</f>
        <v>6.4973973365392484E-2</v>
      </c>
      <c r="K47" s="42">
        <f>SUM(K40,K45)</f>
        <v>32397.463338783815</v>
      </c>
      <c r="L47" s="83">
        <f>IF(ISERROR(K47/E47),"n/a",K47/E47)</f>
        <v>8.7708588430479323E-2</v>
      </c>
    </row>
    <row r="48" spans="1:12" x14ac:dyDescent="0.25">
      <c r="D48" s="447"/>
      <c r="E48" s="6"/>
      <c r="F48" s="42"/>
      <c r="G48" s="83"/>
      <c r="K48" s="42"/>
      <c r="L48" s="83"/>
    </row>
    <row r="49" spans="1:12" x14ac:dyDescent="0.25">
      <c r="D49" s="360" t="s">
        <v>476</v>
      </c>
      <c r="E49" s="362">
        <f>SUM(E8:E10,E23:E25)</f>
        <v>142533.86753570402</v>
      </c>
      <c r="F49" s="463">
        <f>SUM(F8:F10,F23:F25)</f>
        <v>9260.9917129312107</v>
      </c>
      <c r="G49" s="464">
        <f>IF(ISERROR(F49/E49),"n/a",F49/E49)</f>
        <v>6.4973973365392471E-2</v>
      </c>
      <c r="H49" s="361"/>
      <c r="I49" s="465">
        <v>1.349903413436558</v>
      </c>
      <c r="J49" s="361"/>
      <c r="K49" s="463">
        <f>F49*I49</f>
        <v>12501.444325093516</v>
      </c>
      <c r="L49" s="466">
        <f>IF(ISERROR(K49/E49),"n/a",K49/E49)</f>
        <v>8.7708588430479281E-2</v>
      </c>
    </row>
    <row r="50" spans="1:12" x14ac:dyDescent="0.25">
      <c r="D50" s="467" t="s">
        <v>400</v>
      </c>
      <c r="E50" s="10">
        <f>SUM(E15:E16,E30:E31,E36:E37)</f>
        <v>226842.31236329296</v>
      </c>
      <c r="F50" s="174">
        <f>SUM(F15:F16,F30:F31,F36:F37)</f>
        <v>14738.846361636643</v>
      </c>
      <c r="G50" s="172">
        <f>IF(ISERROR(F50/E50),"n/a",F50/E50)</f>
        <v>6.4973973365392498E-2</v>
      </c>
      <c r="H50" s="283"/>
      <c r="I50" s="446">
        <v>1.349903413436558</v>
      </c>
      <c r="J50" s="283"/>
      <c r="K50" s="174">
        <f>F50*I50</f>
        <v>19896.019013690297</v>
      </c>
      <c r="L50" s="468">
        <f>IF(ISERROR(K50/E50),"n/a",K50/E50)</f>
        <v>8.7708588430479337E-2</v>
      </c>
    </row>
    <row r="51" spans="1:12" hidden="1" x14ac:dyDescent="0.25">
      <c r="A51" s="25"/>
    </row>
    <row r="52" spans="1:12" hidden="1" x14ac:dyDescent="0.25">
      <c r="A52" s="25"/>
      <c r="D52" s="14" t="s">
        <v>191</v>
      </c>
      <c r="E52" s="143">
        <f>E17-SUM('Table 3.28-REC Volume'!H8:H10,'Table 3.28-REC Volume'!H15:H16)</f>
        <v>0</v>
      </c>
      <c r="F52" s="143">
        <v>0</v>
      </c>
      <c r="J52" s="14" t="s">
        <v>191</v>
      </c>
      <c r="K52" s="143">
        <f>K47/F47-I44</f>
        <v>0</v>
      </c>
      <c r="L52" s="143">
        <f>L47/G47-I44</f>
        <v>0</v>
      </c>
    </row>
    <row r="53" spans="1:12" hidden="1" x14ac:dyDescent="0.25">
      <c r="A53" s="25"/>
      <c r="E53" s="143">
        <f>E32-SUM('Table 3.28-REC Volume'!H23:H25,'Table 3.28-REC Volume'!H30:H31)</f>
        <v>0</v>
      </c>
      <c r="F53" s="143">
        <v>0</v>
      </c>
    </row>
    <row r="54" spans="1:12" hidden="1" x14ac:dyDescent="0.25">
      <c r="E54" s="143">
        <f>E38-SUM('Table 3.28-REC Volume'!H36:H37)</f>
        <v>0</v>
      </c>
      <c r="F54" s="143">
        <v>0</v>
      </c>
    </row>
    <row r="55" spans="1:12" hidden="1" x14ac:dyDescent="0.25">
      <c r="E55" s="240"/>
      <c r="F55" s="143">
        <v>0</v>
      </c>
    </row>
    <row r="56" spans="1:12" hidden="1" x14ac:dyDescent="0.25">
      <c r="E56" s="240"/>
      <c r="F56" s="240"/>
    </row>
    <row r="57" spans="1:12" x14ac:dyDescent="0.25">
      <c r="A57" s="141"/>
      <c r="B57" s="283"/>
      <c r="C57" s="293"/>
    </row>
    <row r="58" spans="1:12" x14ac:dyDescent="0.25">
      <c r="A58" s="11" t="s">
        <v>235</v>
      </c>
      <c r="C58" s="64"/>
    </row>
    <row r="59" spans="1:12" x14ac:dyDescent="0.25">
      <c r="A59" s="12" t="s">
        <v>699</v>
      </c>
      <c r="C59" s="64"/>
    </row>
    <row r="60" spans="1:12" x14ac:dyDescent="0.25">
      <c r="A60" s="25" t="s">
        <v>810</v>
      </c>
    </row>
    <row r="61" spans="1:12" x14ac:dyDescent="0.25">
      <c r="A61" s="25" t="s">
        <v>808</v>
      </c>
    </row>
    <row r="62" spans="1:12" x14ac:dyDescent="0.25">
      <c r="A62" s="24" t="s">
        <v>414</v>
      </c>
    </row>
    <row r="63" spans="1:12" x14ac:dyDescent="0.25">
      <c r="A63" s="25" t="s">
        <v>7</v>
      </c>
    </row>
    <row r="64" spans="1:12" x14ac:dyDescent="0.25">
      <c r="A64" s="25" t="s">
        <v>656</v>
      </c>
    </row>
    <row r="65" spans="1:1" x14ac:dyDescent="0.25">
      <c r="A65" s="25" t="s">
        <v>8</v>
      </c>
    </row>
    <row r="66" spans="1:1" x14ac:dyDescent="0.25">
      <c r="A66" s="25" t="s">
        <v>657</v>
      </c>
    </row>
    <row r="67" spans="1:1" x14ac:dyDescent="0.25">
      <c r="A67" s="12" t="s">
        <v>24</v>
      </c>
    </row>
  </sheetData>
  <phoneticPr fontId="5" type="noConversion"/>
  <printOptions horizontalCentered="1"/>
  <pageMargins left="0.75" right="0.75" top="1" bottom="1" header="0.5" footer="0.5"/>
  <pageSetup scale="62" orientation="landscape"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H60"/>
  <sheetViews>
    <sheetView zoomScale="70" workbookViewId="0"/>
  </sheetViews>
  <sheetFormatPr defaultRowHeight="13.2" x14ac:dyDescent="0.25"/>
  <cols>
    <col min="1" max="1" width="27.109375" customWidth="1"/>
    <col min="2" max="2" width="9.6640625" customWidth="1"/>
    <col min="3" max="3" width="25.6640625" customWidth="1"/>
    <col min="4" max="4" width="18.33203125" customWidth="1"/>
    <col min="5" max="8" width="11.6640625" customWidth="1"/>
  </cols>
  <sheetData>
    <row r="1" spans="1:8" ht="15.6" x14ac:dyDescent="0.3">
      <c r="A1" s="158" t="s">
        <v>709</v>
      </c>
      <c r="B1" s="158"/>
      <c r="C1" s="158"/>
      <c r="D1" s="158"/>
    </row>
    <row r="2" spans="1:8" ht="15.6" x14ac:dyDescent="0.3">
      <c r="A2" s="158" t="s">
        <v>787</v>
      </c>
      <c r="B2" s="443"/>
      <c r="C2" s="443"/>
      <c r="D2" s="443"/>
    </row>
    <row r="3" spans="1:8" ht="39.6" x14ac:dyDescent="0.25">
      <c r="A3" s="444" t="s">
        <v>396</v>
      </c>
      <c r="B3" s="445" t="s">
        <v>399</v>
      </c>
      <c r="C3" s="444" t="s">
        <v>397</v>
      </c>
      <c r="D3" s="444" t="s">
        <v>348</v>
      </c>
      <c r="E3" s="168" t="s">
        <v>420</v>
      </c>
      <c r="F3" s="168" t="s">
        <v>421</v>
      </c>
      <c r="G3" s="168" t="s">
        <v>417</v>
      </c>
      <c r="H3" s="168" t="s">
        <v>416</v>
      </c>
    </row>
    <row r="4" spans="1:8" x14ac:dyDescent="0.25">
      <c r="A4" s="25" t="s">
        <v>422</v>
      </c>
      <c r="B4" t="s">
        <v>407</v>
      </c>
      <c r="C4" t="s">
        <v>398</v>
      </c>
      <c r="D4" t="s">
        <v>278</v>
      </c>
      <c r="E4" s="6">
        <v>547980.48998552072</v>
      </c>
      <c r="F4" s="234">
        <v>0.4</v>
      </c>
      <c r="G4" s="6">
        <f>E4*F4</f>
        <v>219192.1959942083</v>
      </c>
      <c r="H4" s="6">
        <f>E4*(1-F4)</f>
        <v>328788.29399131244</v>
      </c>
    </row>
    <row r="5" spans="1:8" x14ac:dyDescent="0.25">
      <c r="D5" t="s">
        <v>373</v>
      </c>
      <c r="E5" s="6">
        <v>206208.74102878108</v>
      </c>
      <c r="F5" s="234">
        <v>0.4</v>
      </c>
      <c r="G5" s="6">
        <f>E5*F5</f>
        <v>82483.496411512431</v>
      </c>
      <c r="H5" s="6">
        <f>E5*(1-F5)</f>
        <v>123725.24461726865</v>
      </c>
    </row>
    <row r="6" spans="1:8" x14ac:dyDescent="0.25">
      <c r="D6" t="s">
        <v>279</v>
      </c>
      <c r="E6" s="6">
        <v>12181.278398482806</v>
      </c>
      <c r="F6" s="234">
        <v>0.4</v>
      </c>
      <c r="G6" s="6">
        <f>E6*F6</f>
        <v>4872.5113593931228</v>
      </c>
      <c r="H6" s="6">
        <f>E6*(1-F6)</f>
        <v>7308.7670390896828</v>
      </c>
    </row>
    <row r="7" spans="1:8" x14ac:dyDescent="0.25">
      <c r="E7" s="6"/>
      <c r="G7" s="6"/>
      <c r="H7" s="6"/>
    </row>
    <row r="8" spans="1:8" x14ac:dyDescent="0.25">
      <c r="B8" t="s">
        <v>408</v>
      </c>
      <c r="C8" t="s">
        <v>398</v>
      </c>
      <c r="D8" t="s">
        <v>278</v>
      </c>
      <c r="E8" s="6">
        <v>86469.819157676102</v>
      </c>
      <c r="F8" s="234">
        <v>0.4</v>
      </c>
      <c r="G8" s="6">
        <f>E8*F8</f>
        <v>34587.927663070441</v>
      </c>
      <c r="H8" s="6">
        <f>E8*(1-F8)</f>
        <v>51881.891494605661</v>
      </c>
    </row>
    <row r="9" spans="1:8" x14ac:dyDescent="0.25">
      <c r="D9" t="s">
        <v>373</v>
      </c>
      <c r="E9" s="6">
        <v>5349.6428852814361</v>
      </c>
      <c r="F9" s="234">
        <v>0.4</v>
      </c>
      <c r="G9" s="6">
        <f>E9*F9</f>
        <v>2139.8571541125743</v>
      </c>
      <c r="H9" s="6">
        <f>E9*(1-F9)</f>
        <v>3209.7857311688617</v>
      </c>
    </row>
    <row r="10" spans="1:8" x14ac:dyDescent="0.25">
      <c r="D10" t="s">
        <v>279</v>
      </c>
      <c r="E10" s="6">
        <v>127750.90092584246</v>
      </c>
      <c r="F10" s="234">
        <v>0.4</v>
      </c>
      <c r="G10" s="6">
        <f>E10*F10</f>
        <v>51100.360370336988</v>
      </c>
      <c r="H10" s="6">
        <f>E10*(1-F10)</f>
        <v>76650.540555505475</v>
      </c>
    </row>
    <row r="11" spans="1:8" x14ac:dyDescent="0.25">
      <c r="E11" s="6"/>
      <c r="G11" s="6"/>
      <c r="H11" s="6"/>
    </row>
    <row r="12" spans="1:8" x14ac:dyDescent="0.25">
      <c r="B12" t="s">
        <v>407</v>
      </c>
      <c r="C12" s="12" t="s">
        <v>49</v>
      </c>
      <c r="D12" t="s">
        <v>373</v>
      </c>
      <c r="E12" s="6">
        <v>21812.220479187399</v>
      </c>
      <c r="F12" s="234">
        <v>0.4</v>
      </c>
      <c r="G12" s="6">
        <f>E12*F12</f>
        <v>8724.8881916749597</v>
      </c>
      <c r="H12" s="6">
        <f>E12*(1-F12)</f>
        <v>13087.33228751244</v>
      </c>
    </row>
    <row r="13" spans="1:8" x14ac:dyDescent="0.25">
      <c r="C13" s="12" t="s">
        <v>660</v>
      </c>
      <c r="D13" t="s">
        <v>279</v>
      </c>
      <c r="E13" s="6">
        <v>706802.89720175427</v>
      </c>
      <c r="F13" s="234">
        <v>0.4</v>
      </c>
      <c r="G13" s="6">
        <f>E13*F13</f>
        <v>282721.1588807017</v>
      </c>
      <c r="H13" s="6">
        <f>E13*(1-F13)</f>
        <v>424081.73832105257</v>
      </c>
    </row>
    <row r="14" spans="1:8" x14ac:dyDescent="0.25">
      <c r="E14" s="6"/>
      <c r="F14" s="234"/>
      <c r="G14" s="6"/>
      <c r="H14" s="6"/>
    </row>
    <row r="15" spans="1:8" x14ac:dyDescent="0.25">
      <c r="B15" t="s">
        <v>400</v>
      </c>
      <c r="C15" s="12" t="s">
        <v>49</v>
      </c>
      <c r="D15" t="s">
        <v>373</v>
      </c>
      <c r="E15" s="6">
        <v>3751.8532556569639</v>
      </c>
      <c r="F15" s="234">
        <v>0.4</v>
      </c>
      <c r="G15" s="6">
        <f>E15*F15</f>
        <v>1500.7413022627857</v>
      </c>
      <c r="H15" s="6">
        <f>E15*(1-F15)</f>
        <v>2251.1119533941783</v>
      </c>
    </row>
    <row r="16" spans="1:8" x14ac:dyDescent="0.25">
      <c r="B16" s="283"/>
      <c r="C16" s="325" t="s">
        <v>49</v>
      </c>
      <c r="D16" s="283" t="s">
        <v>279</v>
      </c>
      <c r="E16" s="10">
        <v>20300.586550777331</v>
      </c>
      <c r="F16" s="448">
        <v>0.4</v>
      </c>
      <c r="G16" s="10">
        <f>E16*F16</f>
        <v>8120.2346203109328</v>
      </c>
      <c r="H16" s="10">
        <f>E16*(1-F16)</f>
        <v>12180.351930466399</v>
      </c>
    </row>
    <row r="17" spans="1:8" x14ac:dyDescent="0.25">
      <c r="D17" s="447" t="s">
        <v>406</v>
      </c>
      <c r="E17" s="6">
        <f>SUM(E4:E16)</f>
        <v>1738608.4298689608</v>
      </c>
      <c r="G17" s="6">
        <f>SUM(G4:G16)</f>
        <v>695443.37194758421</v>
      </c>
      <c r="H17" s="6">
        <f>SUM(H4:H16)</f>
        <v>1043165.0579213763</v>
      </c>
    </row>
    <row r="18" spans="1:8" ht="5.0999999999999996" customHeight="1" x14ac:dyDescent="0.25"/>
    <row r="19" spans="1:8" x14ac:dyDescent="0.25">
      <c r="A19" s="25" t="s">
        <v>423</v>
      </c>
      <c r="B19" t="s">
        <v>407</v>
      </c>
      <c r="C19" t="s">
        <v>398</v>
      </c>
      <c r="D19" t="s">
        <v>278</v>
      </c>
      <c r="E19" s="6">
        <v>34977.478084182207</v>
      </c>
      <c r="F19" s="234">
        <v>0.23</v>
      </c>
      <c r="G19" s="6">
        <f>E19*F19</f>
        <v>8044.8199593619083</v>
      </c>
      <c r="H19" s="6">
        <f>E19*(1-F19)</f>
        <v>26932.6581248203</v>
      </c>
    </row>
    <row r="20" spans="1:8" x14ac:dyDescent="0.25">
      <c r="D20" t="s">
        <v>373</v>
      </c>
      <c r="E20" s="6">
        <v>13162.260065666889</v>
      </c>
      <c r="F20" s="234">
        <v>0.23</v>
      </c>
      <c r="G20" s="6">
        <f>E20*F20</f>
        <v>3027.3198151033848</v>
      </c>
      <c r="H20" s="6">
        <f>E20*(1-F20)</f>
        <v>10134.940250563504</v>
      </c>
    </row>
    <row r="21" spans="1:8" x14ac:dyDescent="0.25">
      <c r="D21" t="s">
        <v>279</v>
      </c>
      <c r="E21" s="6">
        <v>777.52840841379691</v>
      </c>
      <c r="F21" s="234">
        <v>0.23</v>
      </c>
      <c r="G21" s="6">
        <f>E21*F21</f>
        <v>178.8315339351733</v>
      </c>
      <c r="H21" s="6">
        <f>E21*(1-F21)</f>
        <v>598.69687447862361</v>
      </c>
    </row>
    <row r="22" spans="1:8" x14ac:dyDescent="0.25">
      <c r="E22" s="6"/>
      <c r="F22" s="6"/>
      <c r="G22" s="6"/>
      <c r="H22" s="6"/>
    </row>
    <row r="23" spans="1:8" x14ac:dyDescent="0.25">
      <c r="B23" t="s">
        <v>408</v>
      </c>
      <c r="C23" t="s">
        <v>398</v>
      </c>
      <c r="D23" t="s">
        <v>278</v>
      </c>
      <c r="E23" s="6">
        <v>5519.3501590006053</v>
      </c>
      <c r="F23" s="234">
        <v>0.23</v>
      </c>
      <c r="G23" s="6">
        <f>E23*F23</f>
        <v>1269.4505365701393</v>
      </c>
      <c r="H23" s="6">
        <f>E23*(1-F23)</f>
        <v>4249.8996224304665</v>
      </c>
    </row>
    <row r="24" spans="1:8" x14ac:dyDescent="0.25">
      <c r="D24" t="s">
        <v>373</v>
      </c>
      <c r="E24" s="6">
        <v>341.46656714562391</v>
      </c>
      <c r="F24" s="234">
        <v>0.23</v>
      </c>
      <c r="G24" s="6">
        <f>E24*F24</f>
        <v>78.53731044349351</v>
      </c>
      <c r="H24" s="6">
        <f>E24*(1-F24)</f>
        <v>262.92925670213043</v>
      </c>
    </row>
    <row r="25" spans="1:8" x14ac:dyDescent="0.25">
      <c r="D25" t="s">
        <v>279</v>
      </c>
      <c r="E25" s="6">
        <v>8154.3128250537811</v>
      </c>
      <c r="F25" s="234">
        <v>0.23</v>
      </c>
      <c r="G25" s="6">
        <f>E25*F25</f>
        <v>1875.4919497623698</v>
      </c>
      <c r="H25" s="6">
        <f>E25*(1-F25)</f>
        <v>6278.8208752914115</v>
      </c>
    </row>
    <row r="26" spans="1:8" x14ac:dyDescent="0.25">
      <c r="E26" s="6"/>
      <c r="F26" s="6"/>
      <c r="G26" s="6"/>
      <c r="H26" s="6"/>
    </row>
    <row r="27" spans="1:8" x14ac:dyDescent="0.25">
      <c r="B27" t="s">
        <v>407</v>
      </c>
      <c r="C27" s="12" t="s">
        <v>49</v>
      </c>
      <c r="D27" t="s">
        <v>373</v>
      </c>
      <c r="E27" s="6">
        <v>1392.2693922885589</v>
      </c>
      <c r="F27" s="234">
        <v>0.23</v>
      </c>
      <c r="G27" s="6">
        <f>E27*F27</f>
        <v>320.22196022636859</v>
      </c>
      <c r="H27" s="6">
        <f>E27*(1-F27)</f>
        <v>1072.0474320621904</v>
      </c>
    </row>
    <row r="28" spans="1:8" x14ac:dyDescent="0.25">
      <c r="C28" s="12" t="s">
        <v>661</v>
      </c>
      <c r="D28" t="s">
        <v>279</v>
      </c>
      <c r="E28" s="6">
        <v>0</v>
      </c>
      <c r="F28" s="234">
        <v>0.23</v>
      </c>
      <c r="G28" s="6">
        <f>E28*F28</f>
        <v>0</v>
      </c>
      <c r="H28" s="6">
        <f>E28*(1-F28)</f>
        <v>0</v>
      </c>
    </row>
    <row r="29" spans="1:8" x14ac:dyDescent="0.25">
      <c r="E29" s="6"/>
      <c r="F29" s="234"/>
      <c r="G29" s="6"/>
      <c r="H29" s="6"/>
    </row>
    <row r="30" spans="1:8" x14ac:dyDescent="0.25">
      <c r="B30" t="s">
        <v>400</v>
      </c>
      <c r="C30" s="12" t="s">
        <v>49</v>
      </c>
      <c r="D30" t="s">
        <v>373</v>
      </c>
      <c r="E30" s="6">
        <v>239.47999504193413</v>
      </c>
      <c r="F30" s="234">
        <v>0.23</v>
      </c>
      <c r="G30" s="6">
        <f>E30*F30</f>
        <v>55.080398859644852</v>
      </c>
      <c r="H30" s="6">
        <f>E30*(1-F30)</f>
        <v>184.39959618228929</v>
      </c>
    </row>
    <row r="31" spans="1:8" x14ac:dyDescent="0.25">
      <c r="B31" s="283"/>
      <c r="C31" s="325" t="s">
        <v>49</v>
      </c>
      <c r="D31" s="283" t="s">
        <v>279</v>
      </c>
      <c r="E31" s="10">
        <v>1295.7821202623841</v>
      </c>
      <c r="F31" s="448">
        <v>0.23</v>
      </c>
      <c r="G31" s="10">
        <f>E31*F31</f>
        <v>298.02988766034832</v>
      </c>
      <c r="H31" s="10">
        <f>E31*(1-F31)</f>
        <v>997.75223260203575</v>
      </c>
    </row>
    <row r="32" spans="1:8" x14ac:dyDescent="0.25">
      <c r="D32" s="447" t="s">
        <v>405</v>
      </c>
      <c r="E32" s="6">
        <f>SUM(E19:E31)</f>
        <v>65859.927617055786</v>
      </c>
      <c r="F32" s="6"/>
      <c r="G32" s="6">
        <f>SUM(G19:G31)</f>
        <v>15147.783351922832</v>
      </c>
      <c r="H32" s="6">
        <f>SUM(H19:H31)</f>
        <v>50712.144265132949</v>
      </c>
    </row>
    <row r="33" spans="1:8" ht="5.0999999999999996" customHeight="1" x14ac:dyDescent="0.25"/>
    <row r="34" spans="1:8" x14ac:dyDescent="0.25">
      <c r="A34" s="25" t="s">
        <v>424</v>
      </c>
      <c r="B34" t="s">
        <v>407</v>
      </c>
      <c r="C34" s="12" t="s">
        <v>409</v>
      </c>
      <c r="D34" t="s">
        <v>373</v>
      </c>
      <c r="E34" s="6">
        <v>855620.98844183679</v>
      </c>
      <c r="F34" s="234">
        <v>0.4</v>
      </c>
      <c r="G34" s="6">
        <f>E34*F34</f>
        <v>342248.39537673473</v>
      </c>
      <c r="H34" s="6">
        <f>E34*(1-F34)</f>
        <v>513372.59306510206</v>
      </c>
    </row>
    <row r="35" spans="1:8" x14ac:dyDescent="0.25">
      <c r="E35" s="6"/>
      <c r="F35" s="6"/>
      <c r="G35" s="6"/>
      <c r="H35" s="6"/>
    </row>
    <row r="36" spans="1:8" x14ac:dyDescent="0.25">
      <c r="B36" t="s">
        <v>400</v>
      </c>
      <c r="C36" t="s">
        <v>409</v>
      </c>
      <c r="D36" t="s">
        <v>373</v>
      </c>
      <c r="E36" s="6">
        <v>87174.08567014354</v>
      </c>
      <c r="F36" s="234">
        <v>0.4</v>
      </c>
      <c r="G36" s="6">
        <f>E36*F36</f>
        <v>34869.634268057416</v>
      </c>
      <c r="H36" s="6">
        <f>E36*(1-F36)</f>
        <v>52304.451402086124</v>
      </c>
    </row>
    <row r="37" spans="1:8" x14ac:dyDescent="0.25">
      <c r="B37" s="283"/>
      <c r="C37" s="283"/>
      <c r="D37" s="283" t="s">
        <v>279</v>
      </c>
      <c r="E37" s="10">
        <v>264873.74208093662</v>
      </c>
      <c r="F37" s="448">
        <v>0.4</v>
      </c>
      <c r="G37" s="10">
        <f>E37*F37</f>
        <v>105949.49683237466</v>
      </c>
      <c r="H37" s="10">
        <f>E37*(1-F37)</f>
        <v>158924.24524856196</v>
      </c>
    </row>
    <row r="38" spans="1:8" x14ac:dyDescent="0.25">
      <c r="D38" s="447" t="s">
        <v>413</v>
      </c>
      <c r="E38" s="6">
        <f>SUM(E34:E37)</f>
        <v>1207668.8161929171</v>
      </c>
      <c r="F38" s="6"/>
      <c r="G38" s="6">
        <f>SUM(G34:G37)</f>
        <v>483067.5264771668</v>
      </c>
      <c r="H38" s="6">
        <f>SUM(H34:H37)</f>
        <v>724601.28971575014</v>
      </c>
    </row>
    <row r="39" spans="1:8" ht="5.0999999999999996" customHeight="1" x14ac:dyDescent="0.25">
      <c r="D39" s="447"/>
      <c r="E39" s="6"/>
      <c r="F39" s="6"/>
      <c r="G39" s="6"/>
      <c r="H39" s="6"/>
    </row>
    <row r="40" spans="1:8" x14ac:dyDescent="0.25">
      <c r="D40" s="447" t="s">
        <v>428</v>
      </c>
      <c r="E40" s="6">
        <f>SUM(E17,E32,E38)</f>
        <v>3012137.1736789336</v>
      </c>
      <c r="F40" s="6"/>
      <c r="G40" s="6">
        <f>SUM(G17,G32,G38)</f>
        <v>1193658.681776674</v>
      </c>
      <c r="H40" s="6">
        <f>SUM(H17,H32,H38)</f>
        <v>1818478.4919022594</v>
      </c>
    </row>
    <row r="41" spans="1:8" ht="5.0999999999999996" customHeight="1" x14ac:dyDescent="0.25">
      <c r="D41" s="447"/>
      <c r="E41" s="6"/>
      <c r="F41" s="6"/>
      <c r="G41" s="6"/>
      <c r="H41" s="6"/>
    </row>
    <row r="42" spans="1:8" x14ac:dyDescent="0.25">
      <c r="D42" s="12" t="s">
        <v>418</v>
      </c>
      <c r="E42" s="6"/>
      <c r="F42" s="6"/>
      <c r="G42" s="6"/>
      <c r="H42" s="6"/>
    </row>
    <row r="43" spans="1:8" x14ac:dyDescent="0.25">
      <c r="D43" s="14" t="s">
        <v>425</v>
      </c>
      <c r="E43" s="6"/>
      <c r="F43" s="6"/>
      <c r="G43" s="6"/>
      <c r="H43" s="6">
        <v>33160.127</v>
      </c>
    </row>
    <row r="44" spans="1:8" x14ac:dyDescent="0.25">
      <c r="D44" s="451" t="s">
        <v>426</v>
      </c>
      <c r="E44" s="10"/>
      <c r="F44" s="10"/>
      <c r="G44" s="10"/>
      <c r="H44" s="10">
        <v>12748.751571845673</v>
      </c>
    </row>
    <row r="45" spans="1:8" x14ac:dyDescent="0.25">
      <c r="D45" s="447" t="s">
        <v>427</v>
      </c>
      <c r="E45" s="6"/>
      <c r="F45" s="6"/>
      <c r="G45" s="6"/>
      <c r="H45" s="6">
        <f>SUM(H43:H44)</f>
        <v>45908.878571845671</v>
      </c>
    </row>
    <row r="46" spans="1:8" ht="5.0999999999999996" customHeight="1" x14ac:dyDescent="0.25">
      <c r="D46" s="447"/>
      <c r="E46" s="6"/>
      <c r="F46" s="6"/>
      <c r="G46" s="6"/>
      <c r="H46" s="6"/>
    </row>
    <row r="47" spans="1:8" x14ac:dyDescent="0.25">
      <c r="D47" s="459" t="s">
        <v>429</v>
      </c>
      <c r="E47" s="6">
        <f>E40+E45</f>
        <v>3012137.1736789336</v>
      </c>
      <c r="F47" s="6"/>
      <c r="G47" s="6">
        <f>G40+G45</f>
        <v>1193658.681776674</v>
      </c>
      <c r="H47" s="6">
        <f>H40+H45</f>
        <v>1864387.370474105</v>
      </c>
    </row>
    <row r="48" spans="1:8" hidden="1" x14ac:dyDescent="0.25">
      <c r="D48" s="447"/>
      <c r="E48" s="6"/>
      <c r="F48" s="6"/>
      <c r="G48" s="6"/>
      <c r="H48" s="6"/>
    </row>
    <row r="49" spans="1:8" hidden="1" x14ac:dyDescent="0.25">
      <c r="D49" s="447" t="s">
        <v>191</v>
      </c>
      <c r="E49" s="143">
        <v>0</v>
      </c>
      <c r="F49" s="240"/>
      <c r="G49" s="143">
        <v>0</v>
      </c>
      <c r="H49" s="143">
        <v>0</v>
      </c>
    </row>
    <row r="50" spans="1:8" hidden="1" x14ac:dyDescent="0.25">
      <c r="D50" s="447"/>
      <c r="E50" s="143">
        <v>0</v>
      </c>
      <c r="F50" s="240"/>
      <c r="G50" s="143">
        <v>0</v>
      </c>
      <c r="H50" s="143">
        <v>0</v>
      </c>
    </row>
    <row r="51" spans="1:8" hidden="1" x14ac:dyDescent="0.25">
      <c r="D51" s="447"/>
      <c r="E51" s="143">
        <v>0</v>
      </c>
      <c r="F51" s="240"/>
      <c r="G51" s="143">
        <v>0</v>
      </c>
      <c r="H51" s="143">
        <v>0</v>
      </c>
    </row>
    <row r="52" spans="1:8" hidden="1" x14ac:dyDescent="0.25">
      <c r="D52" s="447"/>
      <c r="E52" s="6"/>
      <c r="F52" s="6"/>
      <c r="G52" s="6"/>
      <c r="H52" s="143">
        <v>0</v>
      </c>
    </row>
    <row r="53" spans="1:8" x14ac:dyDescent="0.25">
      <c r="A53" s="141"/>
      <c r="B53" s="283"/>
      <c r="C53" s="293"/>
      <c r="D53" s="293"/>
      <c r="E53" s="293"/>
      <c r="F53" s="38"/>
      <c r="G53" s="38"/>
      <c r="H53" s="38"/>
    </row>
    <row r="54" spans="1:8" x14ac:dyDescent="0.25">
      <c r="A54" s="11" t="s">
        <v>235</v>
      </c>
      <c r="C54" s="64"/>
      <c r="D54" s="64"/>
      <c r="E54" s="64"/>
      <c r="F54" s="64"/>
      <c r="G54" s="64"/>
      <c r="H54" s="64"/>
    </row>
    <row r="55" spans="1:8" x14ac:dyDescent="0.25">
      <c r="A55" s="25" t="s">
        <v>811</v>
      </c>
      <c r="C55" s="64"/>
      <c r="D55" s="64"/>
      <c r="E55" s="64"/>
      <c r="F55" s="64"/>
      <c r="G55" s="64"/>
      <c r="H55" s="64"/>
    </row>
    <row r="56" spans="1:8" x14ac:dyDescent="0.25">
      <c r="A56" s="25" t="s">
        <v>430</v>
      </c>
    </row>
    <row r="57" spans="1:8" x14ac:dyDescent="0.25">
      <c r="A57" s="25" t="s">
        <v>50</v>
      </c>
    </row>
    <row r="58" spans="1:8" x14ac:dyDescent="0.25">
      <c r="A58" s="25" t="s">
        <v>659</v>
      </c>
    </row>
    <row r="59" spans="1:8" x14ac:dyDescent="0.25">
      <c r="A59" s="25" t="s">
        <v>38</v>
      </c>
    </row>
    <row r="60" spans="1:8" x14ac:dyDescent="0.25">
      <c r="A60" s="25" t="s">
        <v>662</v>
      </c>
    </row>
  </sheetData>
  <phoneticPr fontId="5" type="noConversion"/>
  <printOptions horizontalCentered="1"/>
  <pageMargins left="0.75" right="0.75" top="1" bottom="1" header="0.5" footer="0.5"/>
  <pageSetup scale="69" orientation="landscape"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Q51"/>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7" s="13" customFormat="1" ht="15.6" x14ac:dyDescent="0.3">
      <c r="A1" s="157" t="s">
        <v>547</v>
      </c>
      <c r="B1" s="19"/>
      <c r="C1" s="19"/>
      <c r="D1" s="19"/>
      <c r="E1" s="19"/>
      <c r="F1" s="19"/>
      <c r="G1" s="19"/>
      <c r="H1" s="19"/>
      <c r="I1" s="19"/>
      <c r="J1" s="19"/>
    </row>
    <row r="2" spans="1:17" s="13" customFormat="1" ht="15.6" x14ac:dyDescent="0.3">
      <c r="A2" s="158" t="s">
        <v>787</v>
      </c>
      <c r="B2" s="19"/>
      <c r="C2" s="19"/>
      <c r="D2" s="19"/>
      <c r="E2" s="19"/>
      <c r="F2" s="19"/>
      <c r="G2" s="19"/>
      <c r="H2" s="19"/>
      <c r="I2" s="19"/>
      <c r="J2" s="19"/>
    </row>
    <row r="3" spans="1:17" ht="26.4" x14ac:dyDescent="0.25">
      <c r="B3" s="168" t="s">
        <v>109</v>
      </c>
      <c r="C3" s="168"/>
      <c r="D3" s="169" t="s">
        <v>104</v>
      </c>
      <c r="E3" s="169"/>
      <c r="F3" s="168" t="s">
        <v>110</v>
      </c>
      <c r="G3" s="168"/>
      <c r="H3" s="170" t="s">
        <v>97</v>
      </c>
      <c r="I3" s="170"/>
      <c r="J3" s="171" t="s">
        <v>105</v>
      </c>
    </row>
    <row r="4" spans="1:17" ht="12.75" customHeight="1" x14ac:dyDescent="0.25">
      <c r="A4" s="333"/>
      <c r="B4" s="27"/>
      <c r="C4" s="27"/>
      <c r="D4" s="27"/>
      <c r="E4" s="27"/>
      <c r="F4" s="27"/>
      <c r="G4" s="27"/>
      <c r="H4" s="27"/>
      <c r="I4" s="27"/>
      <c r="J4" s="27"/>
    </row>
    <row r="5" spans="1:17" ht="12.75" customHeight="1" x14ac:dyDescent="0.25">
      <c r="A5" s="493" t="s">
        <v>574</v>
      </c>
      <c r="B5" s="32"/>
      <c r="C5" s="27"/>
      <c r="D5" s="488"/>
      <c r="E5" s="27"/>
      <c r="F5" s="489"/>
      <c r="G5" s="27"/>
      <c r="H5" s="27"/>
      <c r="I5" s="27"/>
      <c r="J5" s="27"/>
    </row>
    <row r="6" spans="1:17" ht="12.75" customHeight="1" x14ac:dyDescent="0.25">
      <c r="A6" s="353" t="s">
        <v>524</v>
      </c>
      <c r="B6" s="32">
        <f>'Table 3.3-PARS Fwd Summary'!B10</f>
        <v>664608.18684000021</v>
      </c>
      <c r="C6" s="241"/>
      <c r="D6" s="488">
        <f>F6/B6</f>
        <v>0.12394942455208455</v>
      </c>
      <c r="E6" s="27"/>
      <c r="F6" s="494">
        <f>'Table 3.3-PARS Fwd Summary'!F10</f>
        <v>82377.802311422318</v>
      </c>
      <c r="G6" s="241"/>
      <c r="H6" s="134">
        <f>B6/$B$34</f>
        <v>0.85776979286500032</v>
      </c>
      <c r="I6" s="27"/>
      <c r="J6" s="500">
        <f>D6*H6</f>
        <v>0.10632007222377755</v>
      </c>
      <c r="M6" s="27"/>
      <c r="N6" s="27"/>
      <c r="O6" s="27"/>
      <c r="P6" s="27"/>
      <c r="Q6" s="27"/>
    </row>
    <row r="7" spans="1:17" ht="12.75" customHeight="1" x14ac:dyDescent="0.25">
      <c r="A7" s="353" t="s">
        <v>525</v>
      </c>
      <c r="B7" s="32">
        <f>'Table 3.3-PARS Fwd Summary'!B20</f>
        <v>42421.799160000039</v>
      </c>
      <c r="C7" s="241"/>
      <c r="D7" s="488">
        <f>F7/B7</f>
        <v>0.19946123576172733</v>
      </c>
      <c r="E7" s="27"/>
      <c r="F7" s="494">
        <f>'Table 3.3-PARS Fwd Summary'!F20</f>
        <v>8461.504483689414</v>
      </c>
      <c r="G7" s="241"/>
      <c r="H7" s="134">
        <f>B7/$B$34</f>
        <v>5.4751263374361758E-2</v>
      </c>
      <c r="I7" s="27"/>
      <c r="J7" s="500">
        <f>D7*H7</f>
        <v>1.0920754652165998E-2</v>
      </c>
    </row>
    <row r="8" spans="1:17" ht="12.75" customHeight="1" x14ac:dyDescent="0.25">
      <c r="A8" s="353" t="s">
        <v>102</v>
      </c>
      <c r="B8" s="32">
        <f>SUM(B6:B7)</f>
        <v>707029.98600000027</v>
      </c>
      <c r="C8" s="27"/>
      <c r="D8" s="488">
        <f>F8/B8</f>
        <v>0.12848013322466312</v>
      </c>
      <c r="E8" s="27"/>
      <c r="F8" s="494">
        <f>SUM(F6:F7)</f>
        <v>90839.306795111726</v>
      </c>
      <c r="G8" s="27"/>
      <c r="H8" s="134">
        <f>B8/$B$34</f>
        <v>0.91252105623936208</v>
      </c>
      <c r="I8" s="27"/>
      <c r="J8" s="500">
        <f>SUM(J6:J7)</f>
        <v>0.11724082687594355</v>
      </c>
    </row>
    <row r="9" spans="1:17" ht="5.0999999999999996" customHeight="1" x14ac:dyDescent="0.25">
      <c r="A9" s="353"/>
      <c r="B9" s="32"/>
      <c r="C9" s="27"/>
      <c r="D9" s="27"/>
      <c r="E9" s="27"/>
      <c r="F9" s="494"/>
      <c r="G9" s="27"/>
      <c r="H9" s="486"/>
      <c r="I9" s="27"/>
      <c r="J9" s="500"/>
    </row>
    <row r="10" spans="1:17" ht="12.75" customHeight="1" x14ac:dyDescent="0.25">
      <c r="A10" s="353" t="s">
        <v>517</v>
      </c>
      <c r="B10" s="32"/>
      <c r="C10" s="27"/>
      <c r="D10" s="27"/>
      <c r="E10" s="27"/>
      <c r="F10" s="494"/>
      <c r="G10" s="27"/>
      <c r="H10" s="486"/>
      <c r="I10" s="27"/>
      <c r="J10" s="500"/>
    </row>
    <row r="11" spans="1:17" ht="12.75" customHeight="1" x14ac:dyDescent="0.25">
      <c r="A11" s="501" t="s">
        <v>320</v>
      </c>
      <c r="B11" s="32">
        <f>'Table 3.3-PARS Fwd Summary'!B23</f>
        <v>707029.98600000027</v>
      </c>
      <c r="C11" s="241"/>
      <c r="D11" s="488">
        <f>F11/B11</f>
        <v>0.1146191237175123</v>
      </c>
      <c r="E11" s="27"/>
      <c r="F11" s="494">
        <f>'Table 3.3-PARS Fwd Summary'!F23</f>
        <v>81039.157437325019</v>
      </c>
      <c r="G11" s="241"/>
      <c r="H11" s="134">
        <f>B11/$B$34</f>
        <v>0.91252105623936208</v>
      </c>
      <c r="I11" s="27"/>
      <c r="J11" s="500">
        <f>D11*H11</f>
        <v>0.10459236383993445</v>
      </c>
    </row>
    <row r="12" spans="1:17" ht="12.75" customHeight="1" x14ac:dyDescent="0.25">
      <c r="A12" s="501" t="s">
        <v>99</v>
      </c>
      <c r="B12" s="32">
        <f>'Table 3.3-PARS Fwd Summary'!B24</f>
        <v>0</v>
      </c>
      <c r="C12" s="241"/>
      <c r="D12" s="488">
        <v>0</v>
      </c>
      <c r="E12" s="27"/>
      <c r="F12" s="494">
        <f>'Table 3.3-PARS Fwd Summary'!F24</f>
        <v>0</v>
      </c>
      <c r="G12" s="27"/>
      <c r="H12" s="134">
        <f>B12/$B$34</f>
        <v>0</v>
      </c>
      <c r="I12" s="27"/>
      <c r="J12" s="500">
        <f>D12*H12</f>
        <v>0</v>
      </c>
    </row>
    <row r="13" spans="1:17" ht="12.75" customHeight="1" x14ac:dyDescent="0.25">
      <c r="A13" s="501" t="s">
        <v>100</v>
      </c>
      <c r="B13" s="32">
        <f>'Table 3.3-PARS Fwd Summary'!B25</f>
        <v>0</v>
      </c>
      <c r="C13" s="27"/>
      <c r="D13" s="488">
        <v>0</v>
      </c>
      <c r="E13" s="27"/>
      <c r="F13" s="494">
        <f>'Table 3.3-PARS Fwd Summary'!F25</f>
        <v>0</v>
      </c>
      <c r="G13" s="27"/>
      <c r="H13" s="134">
        <f>B13/$B$34</f>
        <v>0</v>
      </c>
      <c r="I13" s="27"/>
      <c r="J13" s="500">
        <f>D13*H13</f>
        <v>0</v>
      </c>
    </row>
    <row r="14" spans="1:17" ht="12.75" customHeight="1" x14ac:dyDescent="0.25">
      <c r="A14" s="502" t="s">
        <v>210</v>
      </c>
      <c r="B14" s="32">
        <f>'Table 3.3-PARS Fwd Summary'!B26</f>
        <v>0</v>
      </c>
      <c r="C14" s="27"/>
      <c r="D14" s="488">
        <v>0</v>
      </c>
      <c r="E14" s="27"/>
      <c r="F14" s="494">
        <f>'Table 3.3-PARS Fwd Summary'!F26</f>
        <v>0</v>
      </c>
      <c r="G14" s="27"/>
      <c r="H14" s="134">
        <f>B14/$B$34</f>
        <v>0</v>
      </c>
      <c r="I14" s="27"/>
      <c r="J14" s="500">
        <f>D14*H14</f>
        <v>0</v>
      </c>
    </row>
    <row r="15" spans="1:17" ht="12.75" customHeight="1" x14ac:dyDescent="0.25">
      <c r="A15" s="503" t="s">
        <v>102</v>
      </c>
      <c r="B15" s="32">
        <f>B11</f>
        <v>707029.98600000027</v>
      </c>
      <c r="C15" s="27"/>
      <c r="D15" s="488">
        <f>F15/B15</f>
        <v>0.1146191237175123</v>
      </c>
      <c r="E15" s="27"/>
      <c r="F15" s="494">
        <f>SUM(F11:F14)</f>
        <v>81039.157437325019</v>
      </c>
      <c r="G15" s="27"/>
      <c r="H15" s="134">
        <f>B15/$B$34</f>
        <v>0.91252105623936208</v>
      </c>
      <c r="I15" s="27"/>
      <c r="J15" s="500">
        <f>SUM(J11:J14)</f>
        <v>0.10459236383993445</v>
      </c>
    </row>
    <row r="16" spans="1:17" ht="5.0999999999999996" customHeight="1" x14ac:dyDescent="0.25">
      <c r="A16" s="353"/>
      <c r="B16" s="32"/>
      <c r="C16" s="27"/>
      <c r="D16" s="27"/>
      <c r="E16" s="27"/>
      <c r="F16" s="494"/>
      <c r="G16" s="27"/>
      <c r="H16" s="486"/>
      <c r="I16" s="27"/>
      <c r="J16" s="500"/>
    </row>
    <row r="17" spans="1:10" ht="12.75" customHeight="1" x14ac:dyDescent="0.25">
      <c r="A17" s="353" t="s">
        <v>504</v>
      </c>
      <c r="B17" s="32">
        <f>B8</f>
        <v>707029.98600000027</v>
      </c>
      <c r="C17" s="27"/>
      <c r="D17" s="488">
        <f>F17/B17</f>
        <v>0.24309925694217538</v>
      </c>
      <c r="E17" s="27"/>
      <c r="F17" s="494">
        <f>SUM(F8,F15)</f>
        <v>171878.46423243673</v>
      </c>
      <c r="G17" s="27"/>
      <c r="H17" s="134">
        <f>B17/$B$34</f>
        <v>0.91252105623936208</v>
      </c>
      <c r="I17" s="27"/>
      <c r="J17" s="500">
        <f>J8+J15</f>
        <v>0.22183319071587798</v>
      </c>
    </row>
    <row r="18" spans="1:10" ht="12.75" customHeight="1" x14ac:dyDescent="0.25">
      <c r="A18" s="241"/>
      <c r="B18" s="32"/>
      <c r="C18" s="27"/>
      <c r="D18" s="27"/>
      <c r="E18" s="27"/>
      <c r="F18" s="494"/>
      <c r="G18" s="27"/>
      <c r="H18" s="486"/>
      <c r="I18" s="27"/>
      <c r="J18" s="500"/>
    </row>
    <row r="19" spans="1:10" ht="12.75" customHeight="1" x14ac:dyDescent="0.25">
      <c r="A19" s="333" t="s">
        <v>479</v>
      </c>
      <c r="B19" s="32"/>
      <c r="C19" s="27"/>
      <c r="D19" s="488"/>
      <c r="E19" s="27"/>
      <c r="F19" s="494"/>
      <c r="G19" s="27"/>
      <c r="H19" s="486"/>
      <c r="I19" s="27"/>
      <c r="J19" s="500"/>
    </row>
    <row r="20" spans="1:10" ht="12.75" customHeight="1" x14ac:dyDescent="0.25">
      <c r="A20" s="353" t="s">
        <v>526</v>
      </c>
      <c r="B20" s="32">
        <f>'Table 3.4-NonPARS Fwd Summary'!B8</f>
        <v>39729.481069780326</v>
      </c>
      <c r="C20" s="27"/>
      <c r="D20" s="488">
        <f>F20/B20</f>
        <v>0.23254845921301315</v>
      </c>
      <c r="E20" s="27"/>
      <c r="F20" s="494">
        <f>'Table 3.4-NonPARS Fwd Summary'!F8</f>
        <v>9239.0296081099877</v>
      </c>
      <c r="G20" s="27"/>
      <c r="H20" s="134">
        <f>B20/$B$34</f>
        <v>5.1276450429978894E-2</v>
      </c>
      <c r="I20" s="27"/>
      <c r="J20" s="500">
        <f>D20*H20</f>
        <v>1.1924259541404037E-2</v>
      </c>
    </row>
    <row r="21" spans="1:10" ht="12.75" customHeight="1" x14ac:dyDescent="0.25">
      <c r="A21" s="353" t="s">
        <v>527</v>
      </c>
      <c r="B21" s="32">
        <f>'Table 3.4-NonPARS Fwd Summary'!B14</f>
        <v>28050.035862434797</v>
      </c>
      <c r="C21" s="27"/>
      <c r="D21" s="488">
        <f>F21/B21</f>
        <v>0.37183488218888444</v>
      </c>
      <c r="E21" s="27"/>
      <c r="F21" s="494">
        <f>'Table 3.4-NonPARS Fwd Summary'!F14</f>
        <v>10429.981780302427</v>
      </c>
      <c r="G21" s="27"/>
      <c r="H21" s="134">
        <f>B21/$B$34</f>
        <v>3.6202493330659072E-2</v>
      </c>
      <c r="I21" s="27"/>
      <c r="J21" s="500">
        <f>D21*H21</f>
        <v>1.3461349842549491E-2</v>
      </c>
    </row>
    <row r="22" spans="1:10" ht="12.75" customHeight="1" x14ac:dyDescent="0.25">
      <c r="A22" s="353" t="s">
        <v>102</v>
      </c>
      <c r="B22" s="32">
        <f>SUM(B20:B21)</f>
        <v>67779.51693221512</v>
      </c>
      <c r="C22" s="27"/>
      <c r="D22" s="488">
        <f>F22/B22</f>
        <v>0.29019108247825048</v>
      </c>
      <c r="E22" s="27"/>
      <c r="F22" s="494">
        <f>SUM(F20:F21)</f>
        <v>19669.011388412415</v>
      </c>
      <c r="G22" s="27"/>
      <c r="H22" s="134">
        <f>B22/$B$34</f>
        <v>8.7478943760637959E-2</v>
      </c>
      <c r="I22" s="27"/>
      <c r="J22" s="500">
        <f>SUM(J20:J21)</f>
        <v>2.5385609383953529E-2</v>
      </c>
    </row>
    <row r="23" spans="1:10" ht="5.0999999999999996" customHeight="1" x14ac:dyDescent="0.25">
      <c r="A23" s="353"/>
      <c r="B23" s="32"/>
      <c r="C23" s="27"/>
      <c r="D23" s="488"/>
      <c r="E23" s="27"/>
      <c r="F23" s="494"/>
      <c r="G23" s="27"/>
      <c r="H23" s="486"/>
      <c r="I23" s="27"/>
      <c r="J23" s="500"/>
    </row>
    <row r="24" spans="1:10" ht="12.75" customHeight="1" x14ac:dyDescent="0.25">
      <c r="A24" s="353" t="s">
        <v>517</v>
      </c>
      <c r="B24" s="32"/>
      <c r="C24" s="27"/>
      <c r="D24" s="488"/>
      <c r="E24" s="27"/>
      <c r="F24" s="494"/>
      <c r="G24" s="27"/>
      <c r="H24" s="486"/>
      <c r="I24" s="27"/>
      <c r="J24" s="500"/>
    </row>
    <row r="25" spans="1:10" ht="12.75" customHeight="1" x14ac:dyDescent="0.25">
      <c r="A25" s="501" t="s">
        <v>320</v>
      </c>
      <c r="B25" s="32">
        <f>'Table 3.4-NonPARS Fwd Summary'!B17</f>
        <v>67779.51693221512</v>
      </c>
      <c r="C25" s="27"/>
      <c r="D25" s="488">
        <f t="shared" ref="D25:D30" si="0">F25/B25</f>
        <v>0.39066777354201909</v>
      </c>
      <c r="E25" s="27"/>
      <c r="F25" s="494">
        <f>'Table 3.4-NonPARS Fwd Summary'!F17</f>
        <v>26479.272971662063</v>
      </c>
      <c r="G25" s="27"/>
      <c r="H25" s="134">
        <f t="shared" ref="H25:H30" si="1">B25/$B$34</f>
        <v>8.7478943760637959E-2</v>
      </c>
      <c r="I25" s="27"/>
      <c r="J25" s="500">
        <f>D25*H25</f>
        <v>3.4175204190775937E-2</v>
      </c>
    </row>
    <row r="26" spans="1:10" ht="12.75" customHeight="1" x14ac:dyDescent="0.25">
      <c r="A26" s="501" t="s">
        <v>99</v>
      </c>
      <c r="B26" s="32">
        <f>'Table 3.4-NonPARS Fwd Summary'!B18</f>
        <v>1202.3323385209376</v>
      </c>
      <c r="C26" s="27"/>
      <c r="D26" s="488">
        <f t="shared" si="0"/>
        <v>2.8560679544268801</v>
      </c>
      <c r="E26" s="27"/>
      <c r="F26" s="494">
        <f>'Table 3.4-NonPARS Fwd Summary'!F18</f>
        <v>3433.9428626207814</v>
      </c>
      <c r="G26" s="27"/>
      <c r="H26" s="134">
        <f t="shared" si="1"/>
        <v>1.5517779970054451E-3</v>
      </c>
      <c r="I26" s="27"/>
      <c r="J26" s="500">
        <f>D26*H26</f>
        <v>4.4319834096319824E-3</v>
      </c>
    </row>
    <row r="27" spans="1:10" ht="12.75" customHeight="1" x14ac:dyDescent="0.25">
      <c r="A27" s="501" t="s">
        <v>100</v>
      </c>
      <c r="B27" s="32">
        <f>'Table 3.4-NonPARS Fwd Summary'!B19</f>
        <v>893.81357942569446</v>
      </c>
      <c r="C27" s="27"/>
      <c r="D27" s="488">
        <f t="shared" si="0"/>
        <v>0.86611479302919436</v>
      </c>
      <c r="E27" s="27"/>
      <c r="F27" s="494">
        <f>'Table 3.4-NonPARS Fwd Summary'!F19</f>
        <v>774.14516335096869</v>
      </c>
      <c r="G27" s="27"/>
      <c r="H27" s="134">
        <f t="shared" si="1"/>
        <v>1.1535914002643438E-3</v>
      </c>
      <c r="I27" s="27"/>
      <c r="J27" s="500">
        <f>D27*H27</f>
        <v>9.9914257688021066E-4</v>
      </c>
    </row>
    <row r="28" spans="1:10" ht="12.75" customHeight="1" x14ac:dyDescent="0.25">
      <c r="A28" s="502" t="s">
        <v>210</v>
      </c>
      <c r="B28" s="32">
        <f>'Table 3.4-NonPARS Fwd Summary'!B20</f>
        <v>308.51875909524324</v>
      </c>
      <c r="C28" s="27"/>
      <c r="D28" s="488">
        <f t="shared" si="0"/>
        <v>0.45498126298827474</v>
      </c>
      <c r="E28" s="27"/>
      <c r="F28" s="494">
        <f>'Table 3.4-NonPARS Fwd Summary'!F20</f>
        <v>140.37025466872905</v>
      </c>
      <c r="G28" s="27"/>
      <c r="H28" s="134">
        <f t="shared" si="1"/>
        <v>3.9818659674110138E-4</v>
      </c>
      <c r="I28" s="27"/>
      <c r="J28" s="500">
        <f>D28*H28</f>
        <v>1.8116744069026914E-4</v>
      </c>
    </row>
    <row r="29" spans="1:10" ht="12.75" customHeight="1" x14ac:dyDescent="0.25">
      <c r="A29" s="502" t="s">
        <v>101</v>
      </c>
      <c r="B29" s="32">
        <f>'Table 3.4-NonPARS Fwd Summary'!B21</f>
        <v>746.97285239239011</v>
      </c>
      <c r="C29" s="27"/>
      <c r="D29" s="488">
        <f t="shared" si="0"/>
        <v>4.8499696097450862</v>
      </c>
      <c r="E29" s="27"/>
      <c r="F29" s="494">
        <f>'Table 3.4-NonPARS Fwd Summary'!F21</f>
        <v>3622.7956334076939</v>
      </c>
      <c r="G29" s="27"/>
      <c r="H29" s="134">
        <f t="shared" si="1"/>
        <v>9.6407291026442076E-4</v>
      </c>
      <c r="I29" s="27"/>
      <c r="J29" s="500">
        <f>D29*H29</f>
        <v>4.6757243163609418E-3</v>
      </c>
    </row>
    <row r="30" spans="1:10" ht="12.75" customHeight="1" x14ac:dyDescent="0.25">
      <c r="A30" s="503" t="s">
        <v>102</v>
      </c>
      <c r="B30" s="32">
        <f>B25</f>
        <v>67779.51693221512</v>
      </c>
      <c r="C30" s="27"/>
      <c r="D30" s="488">
        <f t="shared" si="0"/>
        <v>0.50827342012725596</v>
      </c>
      <c r="E30" s="27"/>
      <c r="F30" s="494">
        <f>SUM(F25:F29)</f>
        <v>34450.526885710235</v>
      </c>
      <c r="G30" s="27"/>
      <c r="H30" s="134">
        <f t="shared" si="1"/>
        <v>8.7478943760637959E-2</v>
      </c>
      <c r="I30" s="27"/>
      <c r="J30" s="500">
        <f>SUM(J25:J29)</f>
        <v>4.4463221934339346E-2</v>
      </c>
    </row>
    <row r="31" spans="1:10" ht="5.0999999999999996" customHeight="1" x14ac:dyDescent="0.25">
      <c r="A31" s="353"/>
      <c r="B31" s="32"/>
      <c r="C31" s="27"/>
      <c r="D31" s="488"/>
      <c r="E31" s="27"/>
      <c r="F31" s="494"/>
      <c r="G31" s="27"/>
      <c r="H31" s="486"/>
      <c r="I31" s="27"/>
      <c r="J31" s="500"/>
    </row>
    <row r="32" spans="1:10" ht="12.75" customHeight="1" x14ac:dyDescent="0.25">
      <c r="A32" s="239" t="s">
        <v>494</v>
      </c>
      <c r="B32" s="32">
        <f>B22</f>
        <v>67779.51693221512</v>
      </c>
      <c r="C32" s="27"/>
      <c r="D32" s="488">
        <f>F32/B32</f>
        <v>0.7984645026055065</v>
      </c>
      <c r="E32" s="27"/>
      <c r="F32" s="494">
        <f>SUM(F22,F30)</f>
        <v>54119.538274122649</v>
      </c>
      <c r="G32" s="27"/>
      <c r="H32" s="134">
        <f>B32/$B$34</f>
        <v>8.7478943760637959E-2</v>
      </c>
      <c r="I32" s="27"/>
      <c r="J32" s="500">
        <f>J22+J30</f>
        <v>6.9848831318292878E-2</v>
      </c>
    </row>
    <row r="33" spans="1:11" ht="12.75" customHeight="1" x14ac:dyDescent="0.25">
      <c r="A33" s="353"/>
      <c r="B33" s="32"/>
      <c r="C33" s="27"/>
      <c r="D33" s="488"/>
      <c r="E33" s="27"/>
      <c r="F33" s="494"/>
      <c r="G33" s="27"/>
      <c r="H33" s="486"/>
      <c r="I33" s="27"/>
      <c r="J33" s="500"/>
    </row>
    <row r="34" spans="1:11" ht="12.75" customHeight="1" x14ac:dyDescent="0.25">
      <c r="A34" s="480" t="s">
        <v>269</v>
      </c>
      <c r="B34" s="505">
        <f>SUM(B17,B32)</f>
        <v>774809.50293221534</v>
      </c>
      <c r="C34" s="506"/>
      <c r="D34" s="507"/>
      <c r="E34" s="506"/>
      <c r="F34" s="511">
        <f>SUM(F17,F32)</f>
        <v>225998.00250655937</v>
      </c>
      <c r="G34" s="506"/>
      <c r="H34" s="509"/>
      <c r="I34" s="506"/>
      <c r="J34" s="507">
        <f>SUM(J17,J32)</f>
        <v>0.29168202203417087</v>
      </c>
    </row>
    <row r="35" spans="1:11" ht="12.75" hidden="1" customHeight="1" x14ac:dyDescent="0.25">
      <c r="A35" s="491"/>
      <c r="B35" s="32"/>
      <c r="C35" s="27"/>
      <c r="D35" s="27"/>
      <c r="E35" s="27"/>
      <c r="F35" s="27"/>
      <c r="G35" s="27"/>
      <c r="H35" s="27"/>
      <c r="I35" s="27"/>
      <c r="J35" s="27"/>
    </row>
    <row r="36" spans="1:11" ht="12.75" hidden="1" customHeight="1" x14ac:dyDescent="0.25">
      <c r="A36" s="491"/>
      <c r="B36" s="492"/>
      <c r="C36" s="151"/>
      <c r="D36" s="151"/>
      <c r="E36" s="151"/>
      <c r="F36" s="485"/>
      <c r="G36" s="151"/>
      <c r="H36" s="486"/>
      <c r="I36" s="151"/>
      <c r="J36" s="151"/>
    </row>
    <row r="37" spans="1:11" ht="12.75" hidden="1" customHeight="1" x14ac:dyDescent="0.25">
      <c r="A37" s="14" t="s">
        <v>191</v>
      </c>
      <c r="B37" s="143">
        <v>0</v>
      </c>
      <c r="C37" s="151"/>
      <c r="D37" s="492"/>
      <c r="E37" s="151"/>
      <c r="F37" s="485"/>
      <c r="G37" s="482" t="s">
        <v>311</v>
      </c>
      <c r="H37" s="504">
        <f>SUM('Table 3.14-Route UAA'!J102,'Table 3.14-Route UAA'!J106)</f>
        <v>9272.8373489599599</v>
      </c>
      <c r="I37" s="151"/>
      <c r="J37" s="492">
        <f>'Table 3.3-PARS Fwd Summary'!J32+'Table 3.4-NonPARS Fwd Summary'!J27</f>
        <v>9272.8373489599617</v>
      </c>
      <c r="K37" s="143">
        <f t="shared" ref="K37:K44" si="2">H37-J37</f>
        <v>0</v>
      </c>
    </row>
    <row r="38" spans="1:11" ht="12.75" hidden="1" customHeight="1" x14ac:dyDescent="0.25">
      <c r="A38" s="487"/>
      <c r="B38" s="143">
        <v>0</v>
      </c>
      <c r="C38" s="27"/>
      <c r="D38" s="488"/>
      <c r="E38" s="27"/>
      <c r="F38" s="485"/>
      <c r="G38" s="46" t="s">
        <v>312</v>
      </c>
      <c r="H38" s="504">
        <f>SUM('Table 3.18-Nixie UAA'!I6,'Table 3.18-Nixie UAA'!I15,'Table 3.18-Nixie UAA'!I24)+SUM('Table 3.31-Rating Post Due'!H7,'Table 3.31-Rating Post Due'!H12,'Table 3.31-Rating Post Due'!H20)</f>
        <v>5568.3294563735362</v>
      </c>
      <c r="I38" s="151"/>
      <c r="J38" s="492">
        <f>'Table 3.3-PARS Fwd Summary'!J33+'Table 3.4-NonPARS Fwd Summary'!J28</f>
        <v>5568.3294563735362</v>
      </c>
      <c r="K38" s="143">
        <f t="shared" si="2"/>
        <v>0</v>
      </c>
    </row>
    <row r="39" spans="1:11" ht="12.75" hidden="1" customHeight="1" x14ac:dyDescent="0.25">
      <c r="A39" s="487"/>
      <c r="B39" s="143">
        <v>0</v>
      </c>
      <c r="C39" s="27"/>
      <c r="D39" s="488"/>
      <c r="E39" s="27"/>
      <c r="F39" s="485"/>
      <c r="G39" s="46" t="s">
        <v>313</v>
      </c>
      <c r="H39" s="504">
        <f>SUM('Table 3.20-CFS Non-CIOSS'!H9,'Table 3.20-CFS Non-CIOSS'!H45,'Table 3.20-CFS Non-CIOSS'!H56,'Table 3.21-CFS CIOSS Rejs'!H9)</f>
        <v>16923.49395002157</v>
      </c>
      <c r="I39" s="151"/>
      <c r="J39" s="492">
        <f>'Table 3.3-PARS Fwd Summary'!J34+'Table 3.4-NonPARS Fwd Summary'!J29</f>
        <v>16923.49395002157</v>
      </c>
      <c r="K39" s="143">
        <f t="shared" si="2"/>
        <v>0</v>
      </c>
    </row>
    <row r="40" spans="1:11" ht="12.75" hidden="1" customHeight="1" x14ac:dyDescent="0.25">
      <c r="A40" s="487"/>
      <c r="B40" s="32"/>
      <c r="C40" s="27"/>
      <c r="D40" s="488"/>
      <c r="E40" s="27"/>
      <c r="F40" s="485"/>
      <c r="G40" s="483" t="s">
        <v>502</v>
      </c>
      <c r="H40" s="504">
        <f>SUM('Table 3.23-CIOSS Summary'!I4,'Table 3.23-CIOSS Summary'!I8,'Table 3.23-CIOSS Summary'!I11)</f>
        <v>42976.145728303571</v>
      </c>
      <c r="I40" s="151"/>
      <c r="J40" s="492">
        <f>'Table 3.3-PARS Fwd Summary'!J35</f>
        <v>42976.145728303578</v>
      </c>
      <c r="K40" s="143">
        <f t="shared" si="2"/>
        <v>0</v>
      </c>
    </row>
    <row r="41" spans="1:11" ht="12.75" hidden="1" customHeight="1" x14ac:dyDescent="0.25">
      <c r="A41" s="499"/>
      <c r="B41" s="32"/>
      <c r="C41" s="27"/>
      <c r="D41" s="488"/>
      <c r="E41" s="27"/>
      <c r="F41" s="485"/>
      <c r="G41" s="483" t="s">
        <v>503</v>
      </c>
      <c r="H41" s="504">
        <f>'Table 3.25-REC Summary'!K4+'Table 3.25-REC Summary'!K8</f>
        <v>35767.511699865492</v>
      </c>
      <c r="I41" s="151"/>
      <c r="J41" s="492">
        <f>'Table 3.3-PARS Fwd Summary'!J36</f>
        <v>35767.511699865499</v>
      </c>
      <c r="K41" s="143">
        <f t="shared" si="2"/>
        <v>0</v>
      </c>
    </row>
    <row r="42" spans="1:11" ht="12.75" hidden="1" customHeight="1" x14ac:dyDescent="0.25">
      <c r="A42" s="491"/>
      <c r="B42" s="492"/>
      <c r="C42" s="151"/>
      <c r="D42" s="488"/>
      <c r="E42" s="151"/>
      <c r="F42" s="489"/>
      <c r="G42" s="67" t="s">
        <v>518</v>
      </c>
      <c r="H42" s="492">
        <f>'Table 3.3-PARS Fwd Summary'!H37+'Table 3.4-NonPARS Fwd Summary'!H30</f>
        <v>107518.43040898709</v>
      </c>
      <c r="I42" s="151"/>
      <c r="J42" s="492">
        <f>'Table 3.3-PARS Fwd Summary'!J37+'Table 3.4-NonPARS Fwd Summary'!J30</f>
        <v>107518.43040898709</v>
      </c>
      <c r="K42" s="143">
        <f t="shared" si="2"/>
        <v>0</v>
      </c>
    </row>
    <row r="43" spans="1:11" ht="12.75" hidden="1" customHeight="1" x14ac:dyDescent="0.25">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7971.2539140481731</v>
      </c>
      <c r="I43" s="151"/>
      <c r="J43" s="492">
        <f>'Table 3.3-PARS Fwd Summary'!J38+'Table 3.4-NonPARS Fwd Summary'!J31</f>
        <v>7971.2539140481731</v>
      </c>
      <c r="K43" s="143">
        <f t="shared" si="2"/>
        <v>0</v>
      </c>
    </row>
    <row r="44" spans="1:11" ht="12.75" hidden="1" customHeight="1" x14ac:dyDescent="0.25">
      <c r="A44" s="493"/>
      <c r="B44" s="492"/>
      <c r="C44" s="151"/>
      <c r="D44" s="488"/>
      <c r="E44" s="151"/>
      <c r="F44" s="489"/>
      <c r="G44" s="46" t="s">
        <v>314</v>
      </c>
      <c r="H44" s="492">
        <f>SUM(H37:H43)</f>
        <v>225998.00250655939</v>
      </c>
      <c r="I44" s="151"/>
      <c r="J44" s="492">
        <f>SUM(J37:J43)</f>
        <v>225998.00250655939</v>
      </c>
      <c r="K44" s="143">
        <f t="shared" si="2"/>
        <v>0</v>
      </c>
    </row>
    <row r="45" spans="1:11" x14ac:dyDescent="0.25">
      <c r="A45" s="317"/>
      <c r="B45" s="317"/>
      <c r="C45" s="317"/>
      <c r="D45" s="317"/>
      <c r="E45" s="317"/>
      <c r="F45" s="317"/>
      <c r="G45" s="27"/>
      <c r="H45" s="240"/>
      <c r="I45" s="27"/>
      <c r="J45" s="27"/>
    </row>
    <row r="46" spans="1:11" x14ac:dyDescent="0.25">
      <c r="A46" s="284" t="s">
        <v>235</v>
      </c>
    </row>
    <row r="47" spans="1:11" x14ac:dyDescent="0.25">
      <c r="A47" s="284" t="s">
        <v>575</v>
      </c>
      <c r="D47" s="12"/>
    </row>
    <row r="48" spans="1:11" x14ac:dyDescent="0.25">
      <c r="A48" s="284" t="s">
        <v>576</v>
      </c>
      <c r="D48" s="12"/>
    </row>
    <row r="49" spans="1:4" x14ac:dyDescent="0.25">
      <c r="A49" s="284"/>
      <c r="D49" s="12"/>
    </row>
    <row r="50" spans="1:4" x14ac:dyDescent="0.25">
      <c r="A50" s="241"/>
    </row>
    <row r="51" spans="1:4" x14ac:dyDescent="0.25">
      <c r="A51" s="241"/>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R35"/>
  <sheetViews>
    <sheetView zoomScale="70" workbookViewId="0">
      <selection activeCell="C28" sqref="C28"/>
    </sheetView>
  </sheetViews>
  <sheetFormatPr defaultColWidth="9.109375" defaultRowHeight="13.2" x14ac:dyDescent="0.25"/>
  <cols>
    <col min="1" max="1" width="27.88671875" style="11" customWidth="1"/>
    <col min="2" max="7" width="11.6640625" style="11" customWidth="1"/>
    <col min="8" max="8" width="9.6640625" style="11" customWidth="1"/>
    <col min="9" max="10" width="10.109375" style="11" customWidth="1"/>
    <col min="11" max="11" width="10.5546875" style="11" bestFit="1" customWidth="1"/>
    <col min="12" max="12" width="9.109375" style="11"/>
    <col min="13" max="13" width="10.33203125" style="11" bestFit="1" customWidth="1"/>
    <col min="14" max="14" width="10.5546875" style="11" bestFit="1" customWidth="1"/>
    <col min="15" max="15" width="9.109375" style="11"/>
    <col min="16" max="16" width="11.33203125" style="11" bestFit="1" customWidth="1"/>
    <col min="17" max="16384" width="9.109375" style="11"/>
  </cols>
  <sheetData>
    <row r="1" spans="1:16" s="24" customFormat="1" ht="15.6" x14ac:dyDescent="0.3">
      <c r="A1" s="158" t="s">
        <v>710</v>
      </c>
    </row>
    <row r="2" spans="1:16" s="24" customFormat="1" ht="15.6" x14ac:dyDescent="0.3">
      <c r="A2" s="158" t="s">
        <v>787</v>
      </c>
    </row>
    <row r="3" spans="1:16" x14ac:dyDescent="0.25">
      <c r="B3" s="108" t="s">
        <v>167</v>
      </c>
      <c r="C3" s="108"/>
      <c r="D3" s="107"/>
      <c r="E3" s="107"/>
      <c r="F3" s="107"/>
      <c r="G3" s="107"/>
      <c r="H3" s="51"/>
      <c r="I3" s="51"/>
      <c r="J3" s="51"/>
      <c r="K3" s="51"/>
    </row>
    <row r="4" spans="1:16" x14ac:dyDescent="0.25">
      <c r="B4" s="237" t="s">
        <v>147</v>
      </c>
      <c r="C4" s="441"/>
      <c r="D4" s="13"/>
      <c r="E4" s="237" t="s">
        <v>149</v>
      </c>
      <c r="F4" s="238"/>
      <c r="G4" s="13"/>
      <c r="H4" s="24"/>
      <c r="I4" s="24"/>
      <c r="J4" s="51"/>
      <c r="K4" s="51"/>
    </row>
    <row r="5" spans="1:16" x14ac:dyDescent="0.25">
      <c r="B5" s="178" t="s">
        <v>228</v>
      </c>
      <c r="C5" s="236" t="s">
        <v>229</v>
      </c>
      <c r="D5" s="106" t="s">
        <v>148</v>
      </c>
      <c r="E5" s="178" t="s">
        <v>228</v>
      </c>
      <c r="F5" s="236" t="s">
        <v>229</v>
      </c>
      <c r="G5" s="106" t="s">
        <v>102</v>
      </c>
      <c r="H5" s="47"/>
      <c r="I5" s="51"/>
      <c r="J5" s="51"/>
      <c r="K5" s="51"/>
    </row>
    <row r="6" spans="1:16" x14ac:dyDescent="0.25">
      <c r="A6" s="89" t="s">
        <v>278</v>
      </c>
      <c r="B6" s="121">
        <f t="shared" ref="B6:G7" si="0">(B17+$B12)*$B$9</f>
        <v>0.11084223760711065</v>
      </c>
      <c r="C6" s="121">
        <f>(C17+$B12)*$B$9</f>
        <v>0.19407586084052814</v>
      </c>
      <c r="D6" s="121">
        <f t="shared" si="0"/>
        <v>0.36824826766457092</v>
      </c>
      <c r="E6" s="121">
        <f t="shared" si="0"/>
        <v>2.8858191031499563</v>
      </c>
      <c r="F6" s="121">
        <f t="shared" si="0"/>
        <v>2.992675306644359</v>
      </c>
      <c r="G6" s="121">
        <f t="shared" si="0"/>
        <v>0.13876756803071033</v>
      </c>
      <c r="H6"/>
      <c r="I6" s="210"/>
      <c r="J6" s="53"/>
      <c r="K6" s="86"/>
      <c r="L6" s="86"/>
      <c r="M6" s="498"/>
      <c r="N6" s="498"/>
      <c r="O6" s="53"/>
      <c r="P6" s="53"/>
    </row>
    <row r="7" spans="1:16" x14ac:dyDescent="0.25">
      <c r="A7" s="21" t="s">
        <v>373</v>
      </c>
      <c r="B7" s="121">
        <f t="shared" si="0"/>
        <v>0.35965009184359875</v>
      </c>
      <c r="C7" s="121">
        <f>(C18+$B13)*$B$9</f>
        <v>1.0703142299887514</v>
      </c>
      <c r="D7" s="121">
        <f t="shared" si="0"/>
        <v>1.0990188002062538</v>
      </c>
      <c r="E7" s="121"/>
      <c r="F7" s="121">
        <f t="shared" si="0"/>
        <v>14.487813451395006</v>
      </c>
      <c r="G7" s="121">
        <f t="shared" si="0"/>
        <v>0.51944974432595314</v>
      </c>
      <c r="H7"/>
      <c r="I7" s="210"/>
      <c r="J7" s="53"/>
      <c r="K7" s="86"/>
      <c r="L7" s="86"/>
      <c r="M7" s="498"/>
      <c r="N7" s="498"/>
      <c r="O7" s="53"/>
    </row>
    <row r="8" spans="1:16" x14ac:dyDescent="0.25">
      <c r="A8" s="21"/>
      <c r="B8" s="206"/>
      <c r="C8" s="206"/>
      <c r="D8" s="206"/>
      <c r="E8" s="206"/>
      <c r="F8" s="206"/>
      <c r="G8" s="117"/>
      <c r="H8" s="51"/>
      <c r="I8" s="51"/>
    </row>
    <row r="9" spans="1:16" ht="13.5" customHeight="1" x14ac:dyDescent="0.25">
      <c r="A9" s="323" t="s">
        <v>192</v>
      </c>
      <c r="B9" s="207">
        <v>1.6624309879114112</v>
      </c>
      <c r="C9" s="294" t="s">
        <v>238</v>
      </c>
      <c r="E9" s="206"/>
      <c r="F9" s="206"/>
      <c r="G9" s="117"/>
      <c r="H9" s="51"/>
      <c r="I9" s="51"/>
      <c r="J9" s="51"/>
      <c r="K9" s="51"/>
    </row>
    <row r="10" spans="1:16" x14ac:dyDescent="0.25">
      <c r="A10" s="21"/>
      <c r="B10" s="206"/>
      <c r="C10" s="206"/>
      <c r="E10" s="206"/>
      <c r="F10" s="206"/>
      <c r="G10" s="117"/>
      <c r="H10" s="51"/>
      <c r="I10" s="51"/>
      <c r="J10" s="51"/>
      <c r="K10" s="51"/>
    </row>
    <row r="11" spans="1:16" x14ac:dyDescent="0.25">
      <c r="A11" s="15" t="s">
        <v>185</v>
      </c>
      <c r="B11" s="208"/>
      <c r="C11" s="208"/>
      <c r="E11" s="208"/>
      <c r="F11" s="208"/>
      <c r="G11" s="48"/>
      <c r="H11" s="51"/>
      <c r="I11" s="51"/>
      <c r="J11" s="51"/>
    </row>
    <row r="12" spans="1:16" x14ac:dyDescent="0.25">
      <c r="A12" s="89" t="s">
        <v>278</v>
      </c>
      <c r="B12" s="121">
        <v>4.5563420343812472E-2</v>
      </c>
      <c r="C12" s="294" t="s">
        <v>239</v>
      </c>
      <c r="E12" s="208"/>
      <c r="F12" s="208"/>
      <c r="G12" s="48"/>
      <c r="H12" s="51"/>
      <c r="I12" s="51"/>
      <c r="J12" s="51"/>
    </row>
    <row r="13" spans="1:16" x14ac:dyDescent="0.25">
      <c r="A13" s="21" t="s">
        <v>373</v>
      </c>
      <c r="B13" s="121">
        <v>4.5563420343812472E-2</v>
      </c>
      <c r="C13" s="294" t="s">
        <v>239</v>
      </c>
      <c r="E13" s="208"/>
      <c r="F13" s="208"/>
      <c r="G13" s="48"/>
      <c r="H13" s="51"/>
      <c r="I13" s="51"/>
      <c r="J13" s="51"/>
    </row>
    <row r="14" spans="1:16" x14ac:dyDescent="0.25">
      <c r="B14" s="208"/>
      <c r="C14" s="208"/>
      <c r="D14" s="208"/>
      <c r="E14" s="208"/>
      <c r="F14" s="208"/>
      <c r="G14" s="48"/>
      <c r="H14" s="51"/>
      <c r="I14" s="51"/>
      <c r="J14" s="51"/>
    </row>
    <row r="15" spans="1:16" x14ac:dyDescent="0.25">
      <c r="A15" s="15" t="s">
        <v>374</v>
      </c>
      <c r="B15" s="237" t="s">
        <v>147</v>
      </c>
      <c r="C15" s="441"/>
      <c r="D15" s="206"/>
      <c r="E15" s="237" t="s">
        <v>149</v>
      </c>
      <c r="F15" s="238"/>
      <c r="G15" s="14"/>
      <c r="H15"/>
      <c r="I15"/>
      <c r="J15" s="108"/>
    </row>
    <row r="16" spans="1:16" x14ac:dyDescent="0.25">
      <c r="A16" s="11" t="s">
        <v>166</v>
      </c>
      <c r="B16" s="178" t="s">
        <v>228</v>
      </c>
      <c r="C16" s="236" t="s">
        <v>229</v>
      </c>
      <c r="D16" s="209" t="s">
        <v>148</v>
      </c>
      <c r="E16" s="178" t="s">
        <v>228</v>
      </c>
      <c r="F16" s="236" t="s">
        <v>229</v>
      </c>
      <c r="G16" s="106" t="s">
        <v>102</v>
      </c>
      <c r="H16"/>
      <c r="J16"/>
    </row>
    <row r="17" spans="1:18" x14ac:dyDescent="0.25">
      <c r="A17" s="89" t="s">
        <v>278</v>
      </c>
      <c r="B17" s="121">
        <f t="shared" ref="B17:G18" si="1">IF(B27=0,0,B22/B27)</f>
        <v>2.1111370016277518E-2</v>
      </c>
      <c r="C17" s="121">
        <f>IF(C27=0,0,C22/C27)</f>
        <v>7.1178785649565091E-2</v>
      </c>
      <c r="D17" s="121">
        <f t="shared" si="1"/>
        <v>0.17594849223622083</v>
      </c>
      <c r="E17" s="121">
        <f t="shared" si="1"/>
        <v>1.6903396782717541</v>
      </c>
      <c r="F17" s="121">
        <f t="shared" si="1"/>
        <v>1.7546167545963787</v>
      </c>
      <c r="G17" s="121">
        <f t="shared" si="1"/>
        <v>3.7909258546184911E-2</v>
      </c>
      <c r="H17"/>
      <c r="J17" s="86"/>
      <c r="K17" s="86"/>
      <c r="L17" s="86"/>
      <c r="M17" s="53"/>
      <c r="N17" s="53"/>
      <c r="O17" s="53"/>
    </row>
    <row r="18" spans="1:18" x14ac:dyDescent="0.25">
      <c r="A18" s="21" t="s">
        <v>373</v>
      </c>
      <c r="B18" s="121">
        <f t="shared" si="1"/>
        <v>0.17077644245881957</v>
      </c>
      <c r="C18" s="121">
        <f>IF(C28=0,0,C23/C28)</f>
        <v>0.59826133856147989</v>
      </c>
      <c r="D18" s="121">
        <f t="shared" si="1"/>
        <v>0.61552796221457085</v>
      </c>
      <c r="E18" s="121">
        <f t="shared" si="1"/>
        <v>0</v>
      </c>
      <c r="F18" s="121">
        <f t="shared" si="1"/>
        <v>8.6692725979601502</v>
      </c>
      <c r="G18" s="121">
        <f t="shared" si="1"/>
        <v>0.26690052438724787</v>
      </c>
      <c r="H18"/>
      <c r="J18" s="86"/>
      <c r="K18" s="86"/>
      <c r="L18" s="86"/>
      <c r="M18" s="6"/>
      <c r="N18" s="53"/>
      <c r="O18" s="53"/>
    </row>
    <row r="19" spans="1:18" x14ac:dyDescent="0.25">
      <c r="A19" s="21"/>
      <c r="B19" s="121"/>
      <c r="C19" s="121"/>
      <c r="D19" s="121"/>
      <c r="E19" s="121"/>
      <c r="F19" s="121"/>
      <c r="G19" s="121"/>
      <c r="H19"/>
    </row>
    <row r="20" spans="1:18" x14ac:dyDescent="0.25">
      <c r="B20" s="237" t="s">
        <v>376</v>
      </c>
      <c r="C20" s="441"/>
      <c r="D20" s="206"/>
      <c r="E20" s="237" t="s">
        <v>149</v>
      </c>
      <c r="F20" s="238"/>
      <c r="G20" s="117"/>
      <c r="H20"/>
      <c r="I20"/>
      <c r="J20"/>
      <c r="K20"/>
      <c r="L20"/>
      <c r="M20"/>
      <c r="N20"/>
    </row>
    <row r="21" spans="1:18" x14ac:dyDescent="0.25">
      <c r="A21" s="24" t="s">
        <v>375</v>
      </c>
      <c r="B21" s="178" t="s">
        <v>228</v>
      </c>
      <c r="C21" s="236" t="s">
        <v>229</v>
      </c>
      <c r="D21" s="209" t="s">
        <v>148</v>
      </c>
      <c r="E21" s="178" t="s">
        <v>228</v>
      </c>
      <c r="F21" s="236" t="s">
        <v>229</v>
      </c>
      <c r="G21" s="106" t="s">
        <v>102</v>
      </c>
      <c r="H21"/>
      <c r="I21"/>
      <c r="J21"/>
      <c r="K21"/>
      <c r="L21"/>
      <c r="M21"/>
      <c r="N21"/>
    </row>
    <row r="22" spans="1:18" x14ac:dyDescent="0.25">
      <c r="A22" s="89" t="s">
        <v>278</v>
      </c>
      <c r="B22" s="105">
        <v>14249.058758791154</v>
      </c>
      <c r="C22" s="105">
        <v>4893.6412481921434</v>
      </c>
      <c r="D22" s="105">
        <v>4936.9656194024437</v>
      </c>
      <c r="E22" s="105">
        <v>1629.7120008764732</v>
      </c>
      <c r="F22" s="105">
        <v>3663.076143436153</v>
      </c>
      <c r="G22" s="105">
        <f>SUM(B22:F22)</f>
        <v>29372.453770698365</v>
      </c>
      <c r="H22"/>
      <c r="I22"/>
      <c r="J22"/>
      <c r="K22"/>
      <c r="L22"/>
      <c r="M22"/>
      <c r="N22"/>
    </row>
    <row r="23" spans="1:18" x14ac:dyDescent="0.25">
      <c r="A23" s="21" t="s">
        <v>373</v>
      </c>
      <c r="B23" s="105">
        <v>204086.9012185563</v>
      </c>
      <c r="C23" s="105">
        <v>45341.681872540859</v>
      </c>
      <c r="D23" s="105">
        <v>36370.944579206865</v>
      </c>
      <c r="E23" s="105">
        <v>0</v>
      </c>
      <c r="F23" s="105">
        <v>71356.638820720807</v>
      </c>
      <c r="G23" s="105">
        <f>SUM(B23:F23)</f>
        <v>357156.16649102478</v>
      </c>
      <c r="H23"/>
      <c r="I23"/>
      <c r="J23"/>
      <c r="K23"/>
      <c r="L23"/>
      <c r="M23"/>
      <c r="N23"/>
    </row>
    <row r="24" spans="1:18" x14ac:dyDescent="0.25">
      <c r="A24" s="21"/>
      <c r="B24" s="105"/>
      <c r="C24" s="105"/>
      <c r="D24" s="105"/>
      <c r="E24" s="105"/>
      <c r="F24" s="105"/>
      <c r="G24" s="105"/>
      <c r="H24"/>
      <c r="I24"/>
      <c r="J24"/>
      <c r="K24"/>
      <c r="L24"/>
      <c r="M24"/>
      <c r="N24"/>
    </row>
    <row r="25" spans="1:18" x14ac:dyDescent="0.25">
      <c r="B25" s="237" t="s">
        <v>376</v>
      </c>
      <c r="C25" s="441"/>
      <c r="D25" s="105"/>
      <c r="E25" s="237" t="s">
        <v>149</v>
      </c>
      <c r="F25" s="238"/>
      <c r="G25" s="105"/>
      <c r="H25"/>
      <c r="I25"/>
      <c r="J25"/>
      <c r="K25"/>
      <c r="L25"/>
      <c r="M25"/>
      <c r="N25"/>
    </row>
    <row r="26" spans="1:18" x14ac:dyDescent="0.25">
      <c r="A26" s="25" t="s">
        <v>252</v>
      </c>
      <c r="B26" s="178" t="s">
        <v>228</v>
      </c>
      <c r="C26" s="236" t="s">
        <v>229</v>
      </c>
      <c r="D26" s="209" t="s">
        <v>148</v>
      </c>
      <c r="E26" s="178" t="s">
        <v>228</v>
      </c>
      <c r="F26" s="236" t="s">
        <v>229</v>
      </c>
      <c r="G26" s="106" t="s">
        <v>102</v>
      </c>
      <c r="H26"/>
      <c r="I26"/>
      <c r="J26"/>
      <c r="K26"/>
      <c r="L26"/>
      <c r="M26"/>
      <c r="N26"/>
    </row>
    <row r="27" spans="1:18" x14ac:dyDescent="0.25">
      <c r="A27" s="89" t="s">
        <v>278</v>
      </c>
      <c r="B27" s="105">
        <v>674947.13738637941</v>
      </c>
      <c r="C27" s="105">
        <v>68751.401186935589</v>
      </c>
      <c r="D27" s="105">
        <v>28059.15274780694</v>
      </c>
      <c r="E27" s="105">
        <v>964.13284372684893</v>
      </c>
      <c r="F27" s="105">
        <v>2087.6787673663725</v>
      </c>
      <c r="G27" s="105">
        <f>SUM(B27:F27)</f>
        <v>774809.50293221523</v>
      </c>
      <c r="H27"/>
      <c r="I27"/>
      <c r="J27"/>
      <c r="K27"/>
      <c r="L27"/>
      <c r="M27"/>
      <c r="N27"/>
    </row>
    <row r="28" spans="1:18" x14ac:dyDescent="0.25">
      <c r="A28" s="21" t="s">
        <v>373</v>
      </c>
      <c r="B28" s="105">
        <v>1195053.0077810299</v>
      </c>
      <c r="C28" s="105">
        <v>75789.089065265332</v>
      </c>
      <c r="D28" s="105">
        <v>59089.020827502361</v>
      </c>
      <c r="E28" s="105">
        <v>0</v>
      </c>
      <c r="F28" s="105">
        <v>8230.9833973280274</v>
      </c>
      <c r="G28" s="105">
        <f>SUM(B28:F28)</f>
        <v>1338162.1010711256</v>
      </c>
      <c r="H28"/>
      <c r="I28" s="27"/>
      <c r="J28" s="27"/>
      <c r="K28" s="27"/>
      <c r="L28" s="27"/>
      <c r="M28" s="27"/>
      <c r="N28" s="27"/>
      <c r="O28" s="140"/>
      <c r="P28" s="140"/>
      <c r="Q28" s="140"/>
      <c r="R28" s="140"/>
    </row>
    <row r="29" spans="1:18" x14ac:dyDescent="0.25">
      <c r="A29" s="141"/>
      <c r="B29" s="141"/>
      <c r="C29" s="141"/>
      <c r="D29" s="141"/>
      <c r="E29" s="141"/>
      <c r="F29" s="141"/>
      <c r="I29" s="140"/>
      <c r="J29" s="140"/>
      <c r="K29" s="140"/>
      <c r="L29" s="140"/>
      <c r="M29" s="140"/>
      <c r="N29" s="140"/>
      <c r="O29" s="140"/>
      <c r="P29" s="140"/>
      <c r="Q29" s="140"/>
      <c r="R29" s="140"/>
    </row>
    <row r="30" spans="1:18" x14ac:dyDescent="0.25">
      <c r="A30" s="11" t="s">
        <v>235</v>
      </c>
      <c r="I30" s="145"/>
      <c r="J30" s="140"/>
      <c r="K30" s="140"/>
      <c r="L30" s="140"/>
      <c r="M30" s="140"/>
      <c r="N30" s="140"/>
      <c r="O30" s="140"/>
      <c r="P30" s="140"/>
      <c r="Q30" s="140"/>
      <c r="R30" s="140"/>
    </row>
    <row r="31" spans="1:18" ht="50.1" customHeight="1" x14ac:dyDescent="0.25">
      <c r="A31" s="613" t="s">
        <v>813</v>
      </c>
      <c r="B31" s="614"/>
      <c r="C31" s="614"/>
      <c r="D31" s="614"/>
      <c r="E31" s="614"/>
      <c r="F31" s="614"/>
    </row>
    <row r="32" spans="1:18" x14ac:dyDescent="0.25">
      <c r="A32" s="25" t="s">
        <v>795</v>
      </c>
    </row>
    <row r="33" spans="1:3" x14ac:dyDescent="0.25">
      <c r="A33" s="25" t="s">
        <v>812</v>
      </c>
    </row>
    <row r="35" spans="1:3" x14ac:dyDescent="0.25">
      <c r="C35" s="53"/>
    </row>
  </sheetData>
  <mergeCells count="1">
    <mergeCell ref="A31:F31"/>
  </mergeCells>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F46"/>
  <sheetViews>
    <sheetView zoomScale="70" workbookViewId="0">
      <selection activeCell="B28" sqref="B28"/>
    </sheetView>
  </sheetViews>
  <sheetFormatPr defaultRowHeight="13.2" x14ac:dyDescent="0.25"/>
  <cols>
    <col min="1" max="1" width="31.44140625" bestFit="1" customWidth="1"/>
    <col min="2" max="2" width="11.6640625" customWidth="1"/>
    <col min="3" max="3" width="3.6640625" customWidth="1"/>
    <col min="4" max="4" width="11.6640625" customWidth="1"/>
    <col min="5" max="5" width="3.6640625" customWidth="1"/>
    <col min="6" max="6" width="11.6640625" customWidth="1"/>
  </cols>
  <sheetData>
    <row r="1" spans="1:6" ht="15.6" x14ac:dyDescent="0.3">
      <c r="A1" s="158" t="s">
        <v>711</v>
      </c>
    </row>
    <row r="2" spans="1:6" ht="15.6" x14ac:dyDescent="0.3">
      <c r="A2" s="158" t="s">
        <v>787</v>
      </c>
    </row>
    <row r="3" spans="1:6" ht="26.4" x14ac:dyDescent="0.25">
      <c r="A3" s="544" t="s">
        <v>396</v>
      </c>
      <c r="B3" s="168" t="s">
        <v>109</v>
      </c>
      <c r="D3" s="169" t="s">
        <v>104</v>
      </c>
      <c r="F3" s="168" t="s">
        <v>110</v>
      </c>
    </row>
    <row r="4" spans="1:6" x14ac:dyDescent="0.25">
      <c r="A4" s="16" t="s">
        <v>278</v>
      </c>
    </row>
    <row r="5" spans="1:6" x14ac:dyDescent="0.25">
      <c r="A5" s="111" t="s">
        <v>505</v>
      </c>
    </row>
    <row r="6" spans="1:6" x14ac:dyDescent="0.25">
      <c r="A6" s="501" t="s">
        <v>539</v>
      </c>
      <c r="B6" s="6">
        <f>'Table 3.3-PARS Fwd Summary'!B23-B7</f>
        <v>674947.13738637965</v>
      </c>
      <c r="C6" s="12" t="s">
        <v>238</v>
      </c>
      <c r="D6" s="121">
        <f>'Table 3.29-UAA MP Units'!B6</f>
        <v>0.11084223760711065</v>
      </c>
      <c r="E6" s="12" t="s">
        <v>239</v>
      </c>
      <c r="F6" s="175">
        <f>B6*D6</f>
        <v>74812.650974420249</v>
      </c>
    </row>
    <row r="7" spans="1:6" x14ac:dyDescent="0.25">
      <c r="A7" s="545" t="s">
        <v>545</v>
      </c>
      <c r="B7" s="6">
        <f>SUM('Table 3.3-PARS Fwd Summary'!B9,'Table 3.3-PARS Fwd Summary'!B19)</f>
        <v>32082.84861362063</v>
      </c>
      <c r="C7" s="12" t="s">
        <v>238</v>
      </c>
      <c r="D7" s="121">
        <f>'Table 3.29-UAA MP Units'!C6</f>
        <v>0.19407586084052814</v>
      </c>
      <c r="E7" s="12" t="s">
        <v>239</v>
      </c>
      <c r="F7" s="175">
        <f>B7*D7</f>
        <v>6226.5064629047683</v>
      </c>
    </row>
    <row r="8" spans="1:6" x14ac:dyDescent="0.25">
      <c r="A8" s="501" t="s">
        <v>102</v>
      </c>
      <c r="B8" s="6">
        <f>SUM(B6:B7)</f>
        <v>707029.98600000027</v>
      </c>
      <c r="D8" s="121">
        <f>F8/B8</f>
        <v>0.1146191237175123</v>
      </c>
      <c r="F8" s="165">
        <f>SUM(F6:F7)</f>
        <v>81039.157437325019</v>
      </c>
    </row>
    <row r="9" spans="1:6" ht="5.0999999999999996" customHeight="1" x14ac:dyDescent="0.25"/>
    <row r="10" spans="1:6" x14ac:dyDescent="0.25">
      <c r="A10" s="111" t="s">
        <v>490</v>
      </c>
    </row>
    <row r="11" spans="1:6" x14ac:dyDescent="0.25">
      <c r="A11" s="501" t="s">
        <v>539</v>
      </c>
      <c r="B11">
        <v>0</v>
      </c>
      <c r="D11" s="121">
        <f>'Table 3.29-UAA MP Units'!B6</f>
        <v>0.11084223760711065</v>
      </c>
      <c r="E11" s="12" t="s">
        <v>239</v>
      </c>
      <c r="F11" s="175">
        <f>B11*D11</f>
        <v>0</v>
      </c>
    </row>
    <row r="12" spans="1:6" x14ac:dyDescent="0.25">
      <c r="A12" s="501" t="s">
        <v>540</v>
      </c>
      <c r="B12" s="6">
        <f>'Table 3.29-UAA MP Units'!C27-B7</f>
        <v>36668.552573314955</v>
      </c>
      <c r="C12" s="12" t="s">
        <v>240</v>
      </c>
      <c r="D12" s="121">
        <f>'Table 3.29-UAA MP Units'!C6</f>
        <v>0.19407586084052814</v>
      </c>
      <c r="E12" s="12" t="s">
        <v>239</v>
      </c>
      <c r="F12" s="175">
        <f>B12*D12</f>
        <v>7116.4809064422634</v>
      </c>
    </row>
    <row r="13" spans="1:6" x14ac:dyDescent="0.25">
      <c r="A13" s="501" t="s">
        <v>148</v>
      </c>
      <c r="B13" s="6">
        <f>'Table 3.29-UAA MP Units'!D27</f>
        <v>28059.15274780694</v>
      </c>
      <c r="C13" s="12" t="s">
        <v>239</v>
      </c>
      <c r="D13" s="121">
        <f>'Table 3.29-UAA MP Units'!D6</f>
        <v>0.36824826766457092</v>
      </c>
      <c r="E13" s="12" t="s">
        <v>239</v>
      </c>
      <c r="F13" s="175">
        <f>B13*D13</f>
        <v>10332.734391515491</v>
      </c>
    </row>
    <row r="14" spans="1:6" x14ac:dyDescent="0.25">
      <c r="A14" s="501" t="s">
        <v>541</v>
      </c>
      <c r="B14" s="6">
        <f>'Table 3.29-UAA MP Units'!E27</f>
        <v>964.13284372684893</v>
      </c>
      <c r="C14" s="12" t="s">
        <v>239</v>
      </c>
      <c r="D14" s="121">
        <f>'Table 3.29-UAA MP Units'!E6</f>
        <v>2.8858191031499563</v>
      </c>
      <c r="E14" s="12" t="s">
        <v>239</v>
      </c>
      <c r="F14" s="175">
        <f>B14*D14</f>
        <v>2782.3129784012322</v>
      </c>
    </row>
    <row r="15" spans="1:6" x14ac:dyDescent="0.25">
      <c r="A15" s="545" t="s">
        <v>542</v>
      </c>
      <c r="B15" s="6">
        <f>'Table 3.29-UAA MP Units'!F27</f>
        <v>2087.6787673663725</v>
      </c>
      <c r="C15" s="12" t="s">
        <v>239</v>
      </c>
      <c r="D15" s="121">
        <f>'Table 3.29-UAA MP Units'!F6</f>
        <v>2.992675306644359</v>
      </c>
      <c r="E15" s="12" t="s">
        <v>239</v>
      </c>
      <c r="F15" s="175">
        <f>B15*D15</f>
        <v>6247.7446953030767</v>
      </c>
    </row>
    <row r="16" spans="1:6" x14ac:dyDescent="0.25">
      <c r="A16" s="501" t="s">
        <v>102</v>
      </c>
      <c r="B16" s="6">
        <f>SUM(B11:B15)</f>
        <v>67779.51693221512</v>
      </c>
      <c r="D16" s="121">
        <f>F16/B16</f>
        <v>0.39066777354201909</v>
      </c>
      <c r="F16" s="165">
        <f>SUM(F11:F15)</f>
        <v>26479.272971662063</v>
      </c>
    </row>
    <row r="17" spans="1:6" ht="5.0999999999999996" customHeight="1" x14ac:dyDescent="0.25"/>
    <row r="18" spans="1:6" x14ac:dyDescent="0.25">
      <c r="A18" s="546" t="s">
        <v>543</v>
      </c>
      <c r="B18" s="6">
        <f>SUM(B8,B16)</f>
        <v>774809.50293221534</v>
      </c>
      <c r="D18" s="121">
        <f>F18/B18</f>
        <v>0.13876756803071039</v>
      </c>
      <c r="F18" s="165">
        <f>SUM(F8,F16)</f>
        <v>107518.43040898709</v>
      </c>
    </row>
    <row r="20" spans="1:6" x14ac:dyDescent="0.25">
      <c r="A20" s="16" t="s">
        <v>280</v>
      </c>
    </row>
    <row r="21" spans="1:6" x14ac:dyDescent="0.25">
      <c r="A21" s="111" t="s">
        <v>505</v>
      </c>
    </row>
    <row r="22" spans="1:6" x14ac:dyDescent="0.25">
      <c r="A22" s="501" t="s">
        <v>539</v>
      </c>
      <c r="B22" s="6">
        <f>'Table 3.6-PARS RTS Summary'!B62-B23</f>
        <v>1195053.0077810301</v>
      </c>
      <c r="C22" s="12" t="s">
        <v>241</v>
      </c>
      <c r="D22" s="121">
        <f>'Table 3.29-UAA MP Units'!B7</f>
        <v>0.35965009184359875</v>
      </c>
      <c r="E22" s="12" t="s">
        <v>239</v>
      </c>
      <c r="F22" s="175">
        <f>B22*D22</f>
        <v>429800.9240064164</v>
      </c>
    </row>
    <row r="23" spans="1:6" x14ac:dyDescent="0.25">
      <c r="A23" s="545" t="s">
        <v>545</v>
      </c>
      <c r="B23" s="6">
        <f>SUM('Table 3.6-PARS RTS Summary'!B9,'Table 3.6-PARS RTS Summary'!B17,'Table 3.6-PARS RTS Summary'!B27,'Table 3.6-PARS RTS Summary'!B37,'Table 3.6-PARS RTS Summary'!B48,'Table 3.6-PARS RTS Summary'!B58)</f>
        <v>59274.78721897013</v>
      </c>
      <c r="C23" s="12" t="s">
        <v>241</v>
      </c>
      <c r="D23" s="121">
        <f>'Table 3.29-UAA MP Units'!C7</f>
        <v>1.0703142299887514</v>
      </c>
      <c r="E23" s="12" t="s">
        <v>239</v>
      </c>
      <c r="F23" s="175">
        <f>B23*D23</f>
        <v>63442.648240019094</v>
      </c>
    </row>
    <row r="24" spans="1:6" x14ac:dyDescent="0.25">
      <c r="A24" s="501" t="s">
        <v>102</v>
      </c>
      <c r="B24" s="6">
        <f>SUM(B22:B23)</f>
        <v>1254327.7950000004</v>
      </c>
      <c r="D24" s="121">
        <f>F24/B24</f>
        <v>0.39323339099444526</v>
      </c>
      <c r="F24" s="165">
        <f>SUM(F22:F23)</f>
        <v>493243.57224643551</v>
      </c>
    </row>
    <row r="25" spans="1:6" ht="5.0999999999999996" customHeight="1" x14ac:dyDescent="0.25"/>
    <row r="26" spans="1:6" x14ac:dyDescent="0.25">
      <c r="A26" s="111" t="s">
        <v>490</v>
      </c>
    </row>
    <row r="27" spans="1:6" x14ac:dyDescent="0.25">
      <c r="A27" s="501" t="s">
        <v>539</v>
      </c>
      <c r="B27">
        <v>0</v>
      </c>
      <c r="D27" s="121">
        <f>'Table 3.29-UAA MP Units'!B7</f>
        <v>0.35965009184359875</v>
      </c>
      <c r="E27" s="12" t="s">
        <v>239</v>
      </c>
      <c r="F27" s="165">
        <f>B27*D27</f>
        <v>0</v>
      </c>
    </row>
    <row r="28" spans="1:6" x14ac:dyDescent="0.25">
      <c r="A28" s="501" t="s">
        <v>540</v>
      </c>
      <c r="B28" s="6">
        <f>'Table 3.29-UAA MP Units'!C28-B23</f>
        <v>16514.301846295202</v>
      </c>
      <c r="C28" s="12" t="s">
        <v>240</v>
      </c>
      <c r="D28" s="121">
        <f>'Table 3.29-UAA MP Units'!C7</f>
        <v>1.0703142299887514</v>
      </c>
      <c r="E28" s="12" t="s">
        <v>239</v>
      </c>
      <c r="F28" s="165">
        <f>B28*D28</f>
        <v>17675.492264419263</v>
      </c>
    </row>
    <row r="29" spans="1:6" x14ac:dyDescent="0.25">
      <c r="A29" s="501" t="s">
        <v>148</v>
      </c>
      <c r="B29" s="6">
        <f>'Table 3.29-UAA MP Units'!D28</f>
        <v>59089.020827502361</v>
      </c>
      <c r="C29" s="12" t="s">
        <v>239</v>
      </c>
      <c r="D29" s="121">
        <f>'Table 3.29-UAA MP Units'!D7</f>
        <v>1.0990188002062538</v>
      </c>
      <c r="E29" s="12" t="s">
        <v>239</v>
      </c>
      <c r="F29" s="165">
        <f>B29*D29</f>
        <v>64939.944775203985</v>
      </c>
    </row>
    <row r="30" spans="1:6" x14ac:dyDescent="0.25">
      <c r="A30" s="501" t="s">
        <v>541</v>
      </c>
      <c r="B30" s="6">
        <f>'Table 3.29-UAA MP Units'!E28</f>
        <v>0</v>
      </c>
      <c r="C30" s="12" t="s">
        <v>239</v>
      </c>
      <c r="D30" s="121">
        <f>'Table 3.29-UAA MP Units'!E7</f>
        <v>0</v>
      </c>
      <c r="E30" s="12" t="s">
        <v>239</v>
      </c>
      <c r="F30" s="165">
        <f>B30*D30</f>
        <v>0</v>
      </c>
    </row>
    <row r="31" spans="1:6" x14ac:dyDescent="0.25">
      <c r="A31" s="545" t="s">
        <v>542</v>
      </c>
      <c r="B31" s="6">
        <f>'Table 3.29-UAA MP Units'!F28</f>
        <v>8230.9833973280274</v>
      </c>
      <c r="C31" s="12" t="s">
        <v>239</v>
      </c>
      <c r="D31" s="121">
        <f>'Table 3.29-UAA MP Units'!F7</f>
        <v>14.487813451395006</v>
      </c>
      <c r="E31" s="12" t="s">
        <v>239</v>
      </c>
      <c r="F31" s="165">
        <f>B31*D31</f>
        <v>119248.95198201796</v>
      </c>
    </row>
    <row r="32" spans="1:6" x14ac:dyDescent="0.25">
      <c r="A32" s="501" t="s">
        <v>102</v>
      </c>
      <c r="B32" s="6">
        <f>SUM(B27:B31)</f>
        <v>83834.306071125597</v>
      </c>
      <c r="D32" s="121">
        <f>F32/B32</f>
        <v>2.4078971781597152</v>
      </c>
      <c r="F32" s="165">
        <f>SUM(F27:F31)</f>
        <v>201864.3890216412</v>
      </c>
    </row>
    <row r="33" spans="1:6" ht="5.0999999999999996" customHeight="1" x14ac:dyDescent="0.25"/>
    <row r="34" spans="1:6" x14ac:dyDescent="0.25">
      <c r="A34" s="546" t="s">
        <v>544</v>
      </c>
      <c r="B34" s="6">
        <f>B24+B32</f>
        <v>1338162.1010711261</v>
      </c>
      <c r="D34" s="121">
        <f>F34/B34</f>
        <v>0.51944974432595314</v>
      </c>
      <c r="F34" s="165">
        <f>F24+F32</f>
        <v>695107.96126807667</v>
      </c>
    </row>
    <row r="35" spans="1:6" hidden="1" x14ac:dyDescent="0.25"/>
    <row r="36" spans="1:6" hidden="1" x14ac:dyDescent="0.25">
      <c r="A36" s="14" t="s">
        <v>191</v>
      </c>
      <c r="B36" s="143">
        <f>B18-'Table 3.29-UAA MP Units'!G27</f>
        <v>0</v>
      </c>
      <c r="D36" s="143">
        <f>D18-'Table 3.29-UAA MP Units'!G6</f>
        <v>0</v>
      </c>
      <c r="F36" s="143">
        <f>F18-PRODUCT('Table 3.29-UAA MP Units'!G6,'Table 3.29-UAA MP Units'!G27)</f>
        <v>0</v>
      </c>
    </row>
    <row r="37" spans="1:6" hidden="1" x14ac:dyDescent="0.25">
      <c r="B37" s="143">
        <f>B34-'Table 3.29-UAA MP Units'!G28</f>
        <v>0</v>
      </c>
      <c r="D37" s="143">
        <f>D34-'Table 3.29-UAA MP Units'!G7</f>
        <v>0</v>
      </c>
      <c r="F37" s="143">
        <f>F34-PRODUCT('Table 3.29-UAA MP Units'!G7,'Table 3.29-UAA MP Units'!G28)</f>
        <v>0</v>
      </c>
    </row>
    <row r="38" spans="1:6" hidden="1" x14ac:dyDescent="0.25">
      <c r="B38" s="143">
        <f>B6-'Table 3.29-UAA MP Units'!B27</f>
        <v>0</v>
      </c>
      <c r="D38" s="143">
        <f>B22-'Table 3.29-UAA MP Units'!B28</f>
        <v>0</v>
      </c>
      <c r="F38" s="143"/>
    </row>
    <row r="39" spans="1:6" hidden="1" x14ac:dyDescent="0.25">
      <c r="B39" s="143">
        <f>SUM(B7,B12)-'Table 3.29-UAA MP Units'!C27</f>
        <v>0</v>
      </c>
      <c r="D39" s="143">
        <f>SUM(B23,B28)-'Table 3.29-UAA MP Units'!C28</f>
        <v>0</v>
      </c>
      <c r="F39" s="143"/>
    </row>
    <row r="40" spans="1:6" x14ac:dyDescent="0.25">
      <c r="A40" s="141"/>
      <c r="B40" s="283"/>
      <c r="C40" s="283"/>
      <c r="D40" s="283"/>
    </row>
    <row r="41" spans="1:6" x14ac:dyDescent="0.25">
      <c r="A41" s="11" t="s">
        <v>235</v>
      </c>
    </row>
    <row r="42" spans="1:6" x14ac:dyDescent="0.25">
      <c r="A42" s="12" t="s">
        <v>546</v>
      </c>
    </row>
    <row r="43" spans="1:6" x14ac:dyDescent="0.25">
      <c r="A43" s="12" t="s">
        <v>663</v>
      </c>
    </row>
    <row r="44" spans="1:6" x14ac:dyDescent="0.25">
      <c r="A44" s="12" t="s">
        <v>700</v>
      </c>
    </row>
    <row r="45" spans="1:6" x14ac:dyDescent="0.25">
      <c r="A45" s="12" t="s">
        <v>37</v>
      </c>
    </row>
    <row r="46" spans="1:6" x14ac:dyDescent="0.25">
      <c r="A46" s="12" t="s">
        <v>664</v>
      </c>
    </row>
  </sheetData>
  <phoneticPr fontId="5" type="noConversion"/>
  <printOptions horizontalCentered="1"/>
  <pageMargins left="0.75" right="0.75" top="1" bottom="1" header="0.5" footer="0.5"/>
  <pageSetup scale="94" orientation="landscape"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J36"/>
  <sheetViews>
    <sheetView zoomScale="70" workbookViewId="0"/>
  </sheetViews>
  <sheetFormatPr defaultRowHeight="13.2" x14ac:dyDescent="0.25"/>
  <cols>
    <col min="1" max="1" width="25.88671875" bestFit="1" customWidth="1"/>
    <col min="2" max="4" width="11.6640625" customWidth="1"/>
    <col min="5" max="5" width="3.5546875" customWidth="1"/>
    <col min="6" max="6" width="11.6640625" customWidth="1"/>
    <col min="7" max="7" width="3.5546875" customWidth="1"/>
    <col min="8" max="9" width="11.6640625" customWidth="1"/>
  </cols>
  <sheetData>
    <row r="1" spans="1:10" ht="15.6" x14ac:dyDescent="0.3">
      <c r="A1" s="158" t="s">
        <v>712</v>
      </c>
    </row>
    <row r="2" spans="1:10" ht="15.6" x14ac:dyDescent="0.3">
      <c r="A2" s="158" t="s">
        <v>787</v>
      </c>
    </row>
    <row r="3" spans="1:10" ht="5.0999999999999996" customHeight="1" x14ac:dyDescent="0.3">
      <c r="A3" s="454"/>
    </row>
    <row r="4" spans="1:10" x14ac:dyDescent="0.25">
      <c r="A4" s="15" t="s">
        <v>224</v>
      </c>
    </row>
    <row r="5" spans="1:10" ht="26.4" x14ac:dyDescent="0.25">
      <c r="B5" s="168" t="s">
        <v>250</v>
      </c>
      <c r="C5" s="198" t="s">
        <v>104</v>
      </c>
      <c r="D5" s="189" t="s">
        <v>249</v>
      </c>
      <c r="E5" s="198"/>
      <c r="F5" s="199" t="s">
        <v>246</v>
      </c>
      <c r="G5" s="199"/>
      <c r="H5" s="160" t="s">
        <v>218</v>
      </c>
      <c r="I5" s="41" t="s">
        <v>133</v>
      </c>
      <c r="J5" s="4"/>
    </row>
    <row r="6" spans="1:10" x14ac:dyDescent="0.25">
      <c r="A6" s="49" t="s">
        <v>439</v>
      </c>
      <c r="B6" s="168"/>
      <c r="C6" s="198"/>
      <c r="D6" s="189"/>
      <c r="E6" s="198"/>
      <c r="F6" s="199"/>
      <c r="G6" s="199"/>
      <c r="H6" s="160"/>
      <c r="I6" s="41"/>
      <c r="J6" s="4"/>
    </row>
    <row r="7" spans="1:10" x14ac:dyDescent="0.25">
      <c r="A7" s="81" t="s">
        <v>278</v>
      </c>
      <c r="B7" s="168">
        <v>0</v>
      </c>
      <c r="C7" s="83" t="str">
        <f>IF(ISERROR(D7/B7),"n/a",D7/B7)</f>
        <v>n/a</v>
      </c>
      <c r="D7" s="52">
        <v>0</v>
      </c>
      <c r="E7" s="198"/>
      <c r="F7" s="54">
        <v>1.5249384833271007</v>
      </c>
      <c r="G7" s="199"/>
      <c r="H7" s="52">
        <f>F7*D7</f>
        <v>0</v>
      </c>
      <c r="I7" s="83" t="str">
        <f>IF(ISERROR(H7/B7),"n/a",H7/B7)</f>
        <v>n/a</v>
      </c>
      <c r="J7" s="4"/>
    </row>
    <row r="8" spans="1:10" x14ac:dyDescent="0.25">
      <c r="A8" s="81" t="s">
        <v>274</v>
      </c>
      <c r="B8" s="168">
        <v>1692.5884443487762</v>
      </c>
      <c r="C8" s="83">
        <f>IF(ISERROR(D8/B8),"n/a",D8/B8)</f>
        <v>0</v>
      </c>
      <c r="D8" s="52">
        <v>0</v>
      </c>
      <c r="E8" s="198"/>
      <c r="F8" s="54">
        <v>1.5249384833271007</v>
      </c>
      <c r="G8" s="199"/>
      <c r="H8" s="52">
        <f>F8*D8</f>
        <v>0</v>
      </c>
      <c r="I8" s="83">
        <f>IF(ISERROR(H8/B8),"n/a",H8/B8)</f>
        <v>0</v>
      </c>
      <c r="J8" s="4"/>
    </row>
    <row r="9" spans="1:10" x14ac:dyDescent="0.25">
      <c r="A9" s="82" t="s">
        <v>444</v>
      </c>
      <c r="B9" s="168">
        <f>SUM(B7:B8)</f>
        <v>1692.5884443487762</v>
      </c>
      <c r="C9" s="83">
        <f>IF(ISERROR(D9/B9),"n/a",D9/B9)</f>
        <v>0</v>
      </c>
      <c r="D9" s="52">
        <f>SUM(D7:D8)</f>
        <v>0</v>
      </c>
      <c r="E9" s="455" t="s">
        <v>239</v>
      </c>
      <c r="F9" s="54"/>
      <c r="G9" s="199"/>
      <c r="H9" s="52">
        <f>SUM(H7:H8)</f>
        <v>0</v>
      </c>
      <c r="I9" s="83">
        <f>IF(ISERROR(H9/B9),"n/a",H9/B9)</f>
        <v>0</v>
      </c>
      <c r="J9" s="4"/>
    </row>
    <row r="10" spans="1:10" x14ac:dyDescent="0.25">
      <c r="B10" s="168"/>
      <c r="C10" s="83"/>
      <c r="D10" s="189"/>
      <c r="E10" s="198"/>
      <c r="F10" s="199"/>
      <c r="G10" s="199"/>
      <c r="H10" s="160"/>
      <c r="I10" s="83"/>
      <c r="J10" s="4"/>
    </row>
    <row r="11" spans="1:10" x14ac:dyDescent="0.25">
      <c r="A11" s="49" t="s">
        <v>442</v>
      </c>
      <c r="B11" s="168"/>
      <c r="C11" s="83"/>
      <c r="D11" s="189"/>
      <c r="E11" s="198"/>
      <c r="F11" s="199"/>
      <c r="G11" s="199"/>
      <c r="H11" s="160"/>
      <c r="I11" s="83"/>
      <c r="J11" s="4"/>
    </row>
    <row r="12" spans="1:10" x14ac:dyDescent="0.25">
      <c r="A12" s="81" t="s">
        <v>278</v>
      </c>
      <c r="B12" s="168">
        <v>0</v>
      </c>
      <c r="C12" s="83" t="str">
        <f>IF(ISERROR(D12/B12),"n/a",D12/B12)</f>
        <v>n/a</v>
      </c>
      <c r="D12" s="52">
        <v>0</v>
      </c>
      <c r="E12" s="198"/>
      <c r="F12" s="54">
        <v>1.5249384833271007</v>
      </c>
      <c r="G12" s="199"/>
      <c r="H12" s="52">
        <f>F12*D12</f>
        <v>0</v>
      </c>
      <c r="I12" s="83" t="str">
        <f>IF(ISERROR(H12/B12),"n/a",H12/B12)</f>
        <v>n/a</v>
      </c>
      <c r="J12" s="4"/>
    </row>
    <row r="13" spans="1:10" x14ac:dyDescent="0.25">
      <c r="A13" s="81" t="s">
        <v>274</v>
      </c>
      <c r="B13" s="168">
        <v>314.28499641211391</v>
      </c>
      <c r="C13" s="83">
        <f>IF(ISERROR(D13/B13),"n/a",D13/B13)</f>
        <v>0.13807614059077128</v>
      </c>
      <c r="D13" s="52">
        <v>43.395259350169091</v>
      </c>
      <c r="E13" s="198"/>
      <c r="F13" s="54">
        <v>1.5249384833271007</v>
      </c>
      <c r="G13" s="199"/>
      <c r="H13" s="52">
        <f>F13*D13</f>
        <v>66.17510097703304</v>
      </c>
      <c r="I13" s="83">
        <f>IF(ISERROR(H13/B13),"n/a",H13/B13)</f>
        <v>0.21055762041615031</v>
      </c>
      <c r="J13" s="4"/>
    </row>
    <row r="14" spans="1:10" x14ac:dyDescent="0.25">
      <c r="A14" s="81" t="s">
        <v>445</v>
      </c>
      <c r="B14" s="168">
        <f>SUM(B12:B13)</f>
        <v>314.28499641211391</v>
      </c>
      <c r="C14" s="83">
        <f>IF(ISERROR(D14/B14),"n/a",D14/B14)</f>
        <v>0.13807614059077128</v>
      </c>
      <c r="D14" s="52">
        <f>SUM(D12:D13)</f>
        <v>43.395259350169091</v>
      </c>
      <c r="E14" s="198"/>
      <c r="F14" s="199"/>
      <c r="G14" s="199"/>
      <c r="H14" s="52">
        <f>SUM(H12:H13)</f>
        <v>66.17510097703304</v>
      </c>
      <c r="I14" s="83">
        <f>IF(ISERROR(H14/B14),"n/a",H14/B14)</f>
        <v>0.21055762041615031</v>
      </c>
      <c r="J14" s="4"/>
    </row>
    <row r="15" spans="1:10" x14ac:dyDescent="0.25">
      <c r="A15" s="81"/>
      <c r="B15" s="168"/>
      <c r="C15" s="83"/>
      <c r="D15" s="189"/>
      <c r="E15" s="198"/>
      <c r="F15" s="199"/>
      <c r="G15" s="199"/>
      <c r="H15" s="160"/>
      <c r="I15" s="83"/>
      <c r="J15" s="4"/>
    </row>
    <row r="16" spans="1:10" x14ac:dyDescent="0.25">
      <c r="A16" s="49" t="s">
        <v>449</v>
      </c>
      <c r="B16" s="168"/>
      <c r="C16" s="83"/>
      <c r="D16" s="189"/>
      <c r="E16" s="198"/>
      <c r="F16" s="199"/>
      <c r="G16" s="199"/>
      <c r="H16" s="160"/>
      <c r="I16" s="83"/>
      <c r="J16" s="4"/>
    </row>
    <row r="17" spans="1:10" x14ac:dyDescent="0.25">
      <c r="A17" s="12" t="s">
        <v>278</v>
      </c>
      <c r="C17" s="83"/>
      <c r="I17" s="22"/>
      <c r="J17" s="11"/>
    </row>
    <row r="18" spans="1:10" s="11" customFormat="1" x14ac:dyDescent="0.25">
      <c r="A18" s="21" t="s">
        <v>148</v>
      </c>
      <c r="B18" s="53">
        <v>0</v>
      </c>
      <c r="C18" s="83" t="str">
        <f>IF(ISERROR(D18/B18),"n/a",D18/B18)</f>
        <v>n/a</v>
      </c>
      <c r="D18" s="52">
        <v>0</v>
      </c>
      <c r="F18" s="72">
        <v>1.5249384833271007</v>
      </c>
      <c r="G18" s="23"/>
      <c r="H18" s="52">
        <f>F18*D18</f>
        <v>0</v>
      </c>
      <c r="I18" s="83" t="str">
        <f>IF(ISERROR(H18/B18),"n/a",H18/B18)</f>
        <v>n/a</v>
      </c>
    </row>
    <row r="19" spans="1:10" s="11" customFormat="1" x14ac:dyDescent="0.25">
      <c r="A19" s="21" t="s">
        <v>149</v>
      </c>
      <c r="B19" s="53">
        <v>248.1360681537586</v>
      </c>
      <c r="C19" s="83">
        <f>IF(ISERROR(D19/B19),"n/a",D19/B19)</f>
        <v>0.13223420094693628</v>
      </c>
      <c r="D19" s="52">
        <v>32.812074698426791</v>
      </c>
      <c r="F19" s="72">
        <v>1.5249384833271007</v>
      </c>
      <c r="G19" s="23"/>
      <c r="H19" s="52">
        <f>F19*D19</f>
        <v>50.036395425434485</v>
      </c>
      <c r="I19" s="83">
        <f>IF(ISERROR(H19/B19),"n/a",H19/B19)</f>
        <v>0.20164902183599206</v>
      </c>
    </row>
    <row r="20" spans="1:10" s="11" customFormat="1" x14ac:dyDescent="0.25">
      <c r="A20" s="25" t="s">
        <v>150</v>
      </c>
      <c r="B20" s="168">
        <f>SUM(B18:B19)</f>
        <v>248.1360681537586</v>
      </c>
      <c r="C20" s="83">
        <f>IF(ISERROR(D20/B20),"n/a",D20/B20)</f>
        <v>0.13223420094693628</v>
      </c>
      <c r="D20" s="52">
        <f>SUM(D18:D19)</f>
        <v>32.812074698426791</v>
      </c>
      <c r="F20" s="72"/>
      <c r="G20" s="23"/>
      <c r="H20" s="52">
        <f>SUM(H18:H19)</f>
        <v>50.036395425434485</v>
      </c>
      <c r="I20" s="83">
        <f>IF(ISERROR(H20/B20),"n/a",H20/B20)</f>
        <v>0.20164902183599206</v>
      </c>
      <c r="J20" s="25"/>
    </row>
    <row r="21" spans="1:10" s="11" customFormat="1" x14ac:dyDescent="0.25">
      <c r="A21" s="21"/>
      <c r="B21" s="53"/>
      <c r="C21" s="83"/>
      <c r="D21" s="52"/>
      <c r="F21" s="72"/>
      <c r="G21" s="23"/>
      <c r="H21" s="42"/>
      <c r="I21" s="86"/>
    </row>
    <row r="22" spans="1:10" x14ac:dyDescent="0.25">
      <c r="A22" s="12" t="s">
        <v>280</v>
      </c>
      <c r="C22" s="83"/>
      <c r="D22" s="52"/>
      <c r="H22" s="165"/>
      <c r="I22" s="22"/>
    </row>
    <row r="23" spans="1:10" x14ac:dyDescent="0.25">
      <c r="A23" s="21" t="s">
        <v>148</v>
      </c>
      <c r="B23" s="53">
        <v>787.29154362919053</v>
      </c>
      <c r="C23" s="83">
        <f>IF(ISERROR(D23/B23),"n/a",D23/B23)</f>
        <v>0.27939198737965093</v>
      </c>
      <c r="D23" s="52">
        <v>219.96294902175268</v>
      </c>
      <c r="E23" s="11"/>
      <c r="F23" s="72">
        <v>1.5249384833271007</v>
      </c>
      <c r="G23" s="23"/>
      <c r="H23" s="52">
        <f>F23*D23</f>
        <v>335.4299658693879</v>
      </c>
      <c r="I23" s="83">
        <f>IF(ISERROR(H23/B23),"n/a",H23/B23)</f>
        <v>0.42605559348846933</v>
      </c>
    </row>
    <row r="24" spans="1:10" x14ac:dyDescent="0.25">
      <c r="A24" s="21" t="s">
        <v>149</v>
      </c>
      <c r="B24" s="53">
        <v>2855.4650766046202</v>
      </c>
      <c r="C24" s="83">
        <f>IF(ISERROR(D24/B24),"n/a",D24/B24)</f>
        <v>0.13223420094693625</v>
      </c>
      <c r="D24" s="52">
        <v>377.59014273669408</v>
      </c>
      <c r="E24" s="11"/>
      <c r="F24" s="72">
        <v>1.5249384833271007</v>
      </c>
      <c r="G24" s="23"/>
      <c r="H24" s="52">
        <f>F24*D24</f>
        <v>575.80173958415776</v>
      </c>
      <c r="I24" s="83">
        <f>IF(ISERROR(H24/B24),"n/a",H24/B24)</f>
        <v>0.20164902183599204</v>
      </c>
    </row>
    <row r="25" spans="1:10" x14ac:dyDescent="0.25">
      <c r="A25" s="25" t="s">
        <v>151</v>
      </c>
      <c r="B25" s="168">
        <f>SUM(B23:B24)</f>
        <v>3642.7566202338107</v>
      </c>
      <c r="C25" s="83">
        <f>IF(ISERROR(D25/B25),"n/a",D25/B25)</f>
        <v>0.16403870860856268</v>
      </c>
      <c r="D25" s="52">
        <f>SUM(D23:D24)</f>
        <v>597.55309175844673</v>
      </c>
      <c r="E25" s="11"/>
      <c r="F25" s="72"/>
      <c r="G25" s="23"/>
      <c r="H25" s="52">
        <f>SUM(H23:H24)</f>
        <v>911.2317054535456</v>
      </c>
      <c r="I25" s="83">
        <f>IF(ISERROR(H25/B25),"n/a",H25/B25)</f>
        <v>0.2501489395124778</v>
      </c>
    </row>
    <row r="26" spans="1:10" x14ac:dyDescent="0.25">
      <c r="C26" s="83"/>
      <c r="D26" s="52"/>
      <c r="H26" s="165"/>
      <c r="I26" s="22"/>
    </row>
    <row r="27" spans="1:10" x14ac:dyDescent="0.25">
      <c r="A27" s="15" t="s">
        <v>225</v>
      </c>
      <c r="B27" s="6">
        <f>SUM(B9,B14,B20,B25)</f>
        <v>5897.7661291484601</v>
      </c>
      <c r="C27" s="83">
        <f>IF(ISERROR(D27/B27),"n/a",D27/B27)</f>
        <v>0.11423993611362858</v>
      </c>
      <c r="D27" s="52">
        <f>SUM(D9,D14,D20,D25)</f>
        <v>673.76042580704257</v>
      </c>
      <c r="F27" s="72"/>
      <c r="H27" s="52">
        <f>SUM(H9,H14,H20,H25)</f>
        <v>1027.443201856013</v>
      </c>
      <c r="I27" s="83">
        <f>IF(ISERROR(H27/B27),"n/a",H27/B27)</f>
        <v>0.17420887491250164</v>
      </c>
    </row>
    <row r="28" spans="1:10" hidden="1" x14ac:dyDescent="0.25">
      <c r="D28" s="22"/>
    </row>
    <row r="29" spans="1:10" hidden="1" x14ac:dyDescent="0.25">
      <c r="A29" s="547" t="s">
        <v>191</v>
      </c>
      <c r="B29" s="133">
        <v>0</v>
      </c>
      <c r="C29" s="133">
        <v>0</v>
      </c>
      <c r="D29" s="133">
        <v>0</v>
      </c>
      <c r="F29" s="134"/>
      <c r="H29" s="133">
        <f>H27/D27-F24</f>
        <v>0</v>
      </c>
      <c r="I29" s="133">
        <f>I27/C27-F24</f>
        <v>0</v>
      </c>
    </row>
    <row r="30" spans="1:10" x14ac:dyDescent="0.25">
      <c r="A30" s="283"/>
      <c r="B30" s="283"/>
      <c r="C30" s="283"/>
      <c r="D30" s="283"/>
    </row>
    <row r="31" spans="1:10" x14ac:dyDescent="0.25">
      <c r="A31" t="s">
        <v>235</v>
      </c>
    </row>
    <row r="32" spans="1:10" x14ac:dyDescent="0.25">
      <c r="A32" s="25" t="s">
        <v>800</v>
      </c>
    </row>
    <row r="33" spans="1:9" x14ac:dyDescent="0.25">
      <c r="A33" s="25" t="s">
        <v>795</v>
      </c>
    </row>
    <row r="34" spans="1:9" x14ac:dyDescent="0.25">
      <c r="A34" s="12" t="s">
        <v>450</v>
      </c>
    </row>
    <row r="35" spans="1:9" x14ac:dyDescent="0.25">
      <c r="A35" s="12" t="s">
        <v>665</v>
      </c>
    </row>
    <row r="36" spans="1:9" x14ac:dyDescent="0.25">
      <c r="A36" s="27"/>
      <c r="B36" s="27"/>
      <c r="C36" s="27"/>
      <c r="D36" s="27"/>
      <c r="E36" s="27"/>
      <c r="F36" s="27"/>
      <c r="G36" s="27"/>
      <c r="H36" s="27"/>
      <c r="I36" s="27"/>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8">
    <pageSetUpPr fitToPage="1"/>
  </sheetPr>
  <dimension ref="A1:J25"/>
  <sheetViews>
    <sheetView zoomScale="70" workbookViewId="0"/>
  </sheetViews>
  <sheetFormatPr defaultColWidth="9.109375" defaultRowHeight="13.2" x14ac:dyDescent="0.25"/>
  <cols>
    <col min="1" max="1" width="43.44140625" style="11" customWidth="1"/>
    <col min="2" max="4" width="11.6640625" style="11" customWidth="1"/>
    <col min="5" max="5" width="2.6640625" style="11" customWidth="1"/>
    <col min="6" max="6" width="11.6640625" style="11" customWidth="1"/>
    <col min="7" max="7" width="2.6640625" style="11" customWidth="1"/>
    <col min="8" max="9" width="11.6640625" style="11" customWidth="1"/>
    <col min="10" max="16384" width="9.109375" style="11"/>
  </cols>
  <sheetData>
    <row r="1" spans="1:10" ht="15.6" x14ac:dyDescent="0.3">
      <c r="A1" s="158" t="s">
        <v>713</v>
      </c>
    </row>
    <row r="2" spans="1:10" ht="15.6" x14ac:dyDescent="0.3">
      <c r="A2" s="158" t="s">
        <v>787</v>
      </c>
    </row>
    <row r="3" spans="1:10" s="4" customFormat="1" ht="26.4" x14ac:dyDescent="0.25">
      <c r="A3" s="16" t="s">
        <v>155</v>
      </c>
      <c r="B3" s="168" t="s">
        <v>250</v>
      </c>
      <c r="C3" s="183" t="s">
        <v>104</v>
      </c>
      <c r="D3" s="189" t="s">
        <v>249</v>
      </c>
      <c r="E3" s="161"/>
      <c r="F3" s="160" t="s">
        <v>246</v>
      </c>
      <c r="G3" s="159"/>
      <c r="H3" s="159" t="s">
        <v>133</v>
      </c>
      <c r="I3" s="41" t="s">
        <v>158</v>
      </c>
    </row>
    <row r="4" spans="1:10" x14ac:dyDescent="0.25">
      <c r="A4" s="21" t="s">
        <v>153</v>
      </c>
      <c r="B4" s="184">
        <v>1202.3323385209376</v>
      </c>
      <c r="C4" s="186">
        <f>D4/B4</f>
        <v>0.44038823118005166</v>
      </c>
      <c r="D4" s="191">
        <v>529.49301185181082</v>
      </c>
      <c r="E4" s="192"/>
      <c r="F4" s="192">
        <v>3.8567835924021443</v>
      </c>
      <c r="G4" s="192"/>
      <c r="H4" s="186">
        <f>C4*F4</f>
        <v>1.6984821043022256</v>
      </c>
      <c r="I4" s="211">
        <f>B4/B$4*H4</f>
        <v>1.6984821043022256</v>
      </c>
    </row>
    <row r="5" spans="1:10" x14ac:dyDescent="0.25">
      <c r="A5" s="101" t="s">
        <v>152</v>
      </c>
      <c r="B5" s="184">
        <v>1202.3323385209376</v>
      </c>
      <c r="C5" s="186">
        <f>D5/B5</f>
        <v>0.30014280614683592</v>
      </c>
      <c r="D5" s="191">
        <v>360.87140200476165</v>
      </c>
      <c r="E5" s="194"/>
      <c r="F5" s="192">
        <v>3.8567835924021443</v>
      </c>
      <c r="G5" s="195"/>
      <c r="H5" s="186">
        <f>C5*F5</f>
        <v>1.1575858501246543</v>
      </c>
      <c r="I5" s="211">
        <f>B5/B$4*H5</f>
        <v>1.1575858501246543</v>
      </c>
    </row>
    <row r="6" spans="1:10" x14ac:dyDescent="0.25">
      <c r="B6" s="194"/>
      <c r="C6" s="211"/>
      <c r="D6" s="191"/>
      <c r="E6" s="194"/>
      <c r="F6" s="195"/>
      <c r="G6" s="195"/>
      <c r="H6" s="186"/>
      <c r="I6" s="211"/>
    </row>
    <row r="7" spans="1:10" x14ac:dyDescent="0.25">
      <c r="A7" s="91" t="s">
        <v>163</v>
      </c>
      <c r="B7" s="194"/>
      <c r="C7" s="211"/>
      <c r="D7" s="191"/>
      <c r="E7" s="194"/>
      <c r="F7" s="195"/>
      <c r="G7" s="195"/>
      <c r="H7" s="186"/>
      <c r="I7" s="186">
        <f>SUM(I4:I5)</f>
        <v>2.8560679544268801</v>
      </c>
      <c r="J7" s="25"/>
    </row>
    <row r="8" spans="1:10" x14ac:dyDescent="0.25">
      <c r="B8" s="194"/>
      <c r="C8" s="211"/>
      <c r="D8" s="191"/>
      <c r="E8" s="194"/>
      <c r="F8" s="195"/>
      <c r="G8" s="195"/>
      <c r="H8" s="186"/>
      <c r="I8" s="211"/>
    </row>
    <row r="9" spans="1:10" x14ac:dyDescent="0.25">
      <c r="A9" s="5" t="s">
        <v>157</v>
      </c>
      <c r="B9" s="47"/>
      <c r="C9" s="211"/>
      <c r="D9" s="212"/>
      <c r="E9" s="47"/>
      <c r="F9" s="47"/>
      <c r="G9" s="47"/>
      <c r="H9" s="211"/>
      <c r="I9" s="211"/>
    </row>
    <row r="10" spans="1:10" x14ac:dyDescent="0.25">
      <c r="A10" s="21" t="s">
        <v>153</v>
      </c>
      <c r="B10" s="184">
        <v>12420.480347552158</v>
      </c>
      <c r="C10" s="186">
        <f>D10/B10</f>
        <v>0.44038823118005183</v>
      </c>
      <c r="D10" s="191">
        <v>5469.8333706650901</v>
      </c>
      <c r="E10" s="47"/>
      <c r="F10" s="192">
        <v>3.8567835924021443</v>
      </c>
      <c r="G10" s="47"/>
      <c r="H10" s="186">
        <f>C10*F10</f>
        <v>1.6984821043022262</v>
      </c>
      <c r="I10" s="211">
        <f>B10/B$10*H10</f>
        <v>1.6984821043022262</v>
      </c>
    </row>
    <row r="11" spans="1:10" x14ac:dyDescent="0.25">
      <c r="A11" s="101" t="s">
        <v>152</v>
      </c>
      <c r="B11" s="184">
        <v>12420.480347552158</v>
      </c>
      <c r="C11" s="186">
        <f>D11/B11</f>
        <v>0.30014280614683592</v>
      </c>
      <c r="D11" s="191">
        <v>3727.9178252059328</v>
      </c>
      <c r="E11" s="47"/>
      <c r="F11" s="192">
        <v>3.8567835924021443</v>
      </c>
      <c r="G11" s="47"/>
      <c r="H11" s="186">
        <f>C11*F11</f>
        <v>1.1575858501246543</v>
      </c>
      <c r="I11" s="211">
        <f>B11/B$10*H11</f>
        <v>1.1575858501246543</v>
      </c>
    </row>
    <row r="12" spans="1:10" x14ac:dyDescent="0.25">
      <c r="B12" s="47"/>
      <c r="C12" s="47"/>
      <c r="D12" s="47"/>
      <c r="E12" s="47"/>
      <c r="F12" s="47"/>
      <c r="G12" s="47"/>
      <c r="H12" s="47"/>
      <c r="I12" s="211"/>
    </row>
    <row r="13" spans="1:10" x14ac:dyDescent="0.25">
      <c r="A13" s="91" t="s">
        <v>266</v>
      </c>
      <c r="B13" s="47"/>
      <c r="C13" s="47"/>
      <c r="D13" s="47"/>
      <c r="E13" s="47"/>
      <c r="F13" s="47"/>
      <c r="G13" s="47"/>
      <c r="H13" s="47"/>
      <c r="I13" s="186">
        <f>SUM(I10:I11)</f>
        <v>2.8560679544268806</v>
      </c>
    </row>
    <row r="14" spans="1:10" hidden="1" x14ac:dyDescent="0.25"/>
    <row r="15" spans="1:10" hidden="1" x14ac:dyDescent="0.25">
      <c r="B15" s="549" t="s">
        <v>188</v>
      </c>
      <c r="C15" s="128">
        <v>0</v>
      </c>
      <c r="D15" s="128">
        <v>0</v>
      </c>
      <c r="F15" s="128">
        <f>(I7*B4+I13*B10)-SUM(D4:D5,D10:D11)*F4</f>
        <v>0</v>
      </c>
    </row>
    <row r="16" spans="1:10" hidden="1" x14ac:dyDescent="0.25">
      <c r="B16" s="549" t="s">
        <v>188</v>
      </c>
      <c r="C16" s="128">
        <v>0</v>
      </c>
      <c r="D16" s="128">
        <v>0</v>
      </c>
      <c r="F16" s="53"/>
    </row>
    <row r="17" spans="1:4" hidden="1" x14ac:dyDescent="0.25">
      <c r="B17" s="549" t="s">
        <v>188</v>
      </c>
      <c r="C17" s="128"/>
      <c r="D17" s="128">
        <v>0</v>
      </c>
    </row>
    <row r="18" spans="1:4" hidden="1" x14ac:dyDescent="0.25">
      <c r="B18" s="549" t="s">
        <v>188</v>
      </c>
      <c r="C18" s="128">
        <v>0</v>
      </c>
      <c r="D18" s="128">
        <v>0</v>
      </c>
    </row>
    <row r="19" spans="1:4" hidden="1" x14ac:dyDescent="0.25">
      <c r="B19" s="549" t="s">
        <v>188</v>
      </c>
      <c r="C19" s="128">
        <v>0</v>
      </c>
      <c r="D19" s="128">
        <v>0</v>
      </c>
    </row>
    <row r="20" spans="1:4" hidden="1" x14ac:dyDescent="0.25">
      <c r="B20" s="549" t="s">
        <v>188</v>
      </c>
      <c r="C20" s="128"/>
      <c r="D20" s="128">
        <v>0</v>
      </c>
    </row>
    <row r="21" spans="1:4" hidden="1" x14ac:dyDescent="0.25">
      <c r="A21" s="4"/>
      <c r="B21" s="550" t="s">
        <v>188</v>
      </c>
      <c r="C21" s="139">
        <f>C4-C10</f>
        <v>0</v>
      </c>
      <c r="D21" s="139">
        <f>C5-C11</f>
        <v>0</v>
      </c>
    </row>
    <row r="22" spans="1:4" x14ac:dyDescent="0.25">
      <c r="A22" s="141"/>
      <c r="B22" s="295"/>
      <c r="C22" s="296"/>
      <c r="D22" s="296"/>
    </row>
    <row r="23" spans="1:4" x14ac:dyDescent="0.25">
      <c r="A23" s="11" t="s">
        <v>235</v>
      </c>
    </row>
    <row r="24" spans="1:4" x14ac:dyDescent="0.25">
      <c r="A24" s="25" t="s">
        <v>814</v>
      </c>
    </row>
    <row r="25" spans="1:4" x14ac:dyDescent="0.25">
      <c r="A25" s="25"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pageSetUpPr fitToPage="1"/>
  </sheetPr>
  <dimension ref="A1:J39"/>
  <sheetViews>
    <sheetView zoomScale="70" workbookViewId="0"/>
  </sheetViews>
  <sheetFormatPr defaultColWidth="9.109375" defaultRowHeight="13.2" x14ac:dyDescent="0.25"/>
  <cols>
    <col min="1" max="1" width="43.44140625" style="11" customWidth="1"/>
    <col min="2" max="2" width="11.6640625" style="63" customWidth="1"/>
    <col min="3" max="3" width="11.6640625" style="64" customWidth="1"/>
    <col min="4" max="4" width="11.6640625" style="77" customWidth="1"/>
    <col min="5" max="5" width="2.5546875" style="11" customWidth="1"/>
    <col min="6" max="6" width="11.6640625" style="11" customWidth="1"/>
    <col min="7" max="7" width="2.5546875" style="11" customWidth="1"/>
    <col min="8" max="9" width="11.6640625" style="11" customWidth="1"/>
    <col min="10" max="16384" width="9.109375" style="11"/>
  </cols>
  <sheetData>
    <row r="1" spans="1:10" ht="15.6" x14ac:dyDescent="0.3">
      <c r="A1" s="158" t="s">
        <v>714</v>
      </c>
    </row>
    <row r="2" spans="1:10" ht="15.6" x14ac:dyDescent="0.3">
      <c r="A2" s="158" t="s">
        <v>787</v>
      </c>
    </row>
    <row r="3" spans="1:10" s="4" customFormat="1" ht="26.4" x14ac:dyDescent="0.25">
      <c r="B3" s="168" t="s">
        <v>250</v>
      </c>
      <c r="C3" s="183" t="s">
        <v>104</v>
      </c>
      <c r="D3" s="189" t="s">
        <v>249</v>
      </c>
      <c r="E3" s="161"/>
      <c r="F3" s="160" t="s">
        <v>246</v>
      </c>
      <c r="G3" s="159"/>
      <c r="H3" s="159" t="s">
        <v>133</v>
      </c>
      <c r="I3" s="41" t="s">
        <v>158</v>
      </c>
    </row>
    <row r="4" spans="1:10" x14ac:dyDescent="0.25">
      <c r="A4" s="16" t="s">
        <v>155</v>
      </c>
      <c r="B4" s="50"/>
      <c r="C4" s="38"/>
      <c r="E4" s="4"/>
      <c r="F4" s="4"/>
      <c r="G4" s="4"/>
      <c r="H4" s="38"/>
    </row>
    <row r="5" spans="1:10" x14ac:dyDescent="0.25">
      <c r="A5" s="97" t="s">
        <v>156</v>
      </c>
      <c r="B5" s="184">
        <v>893.81357942569446</v>
      </c>
      <c r="C5" s="186">
        <f>D5/B5</f>
        <v>0.33327152995887999</v>
      </c>
      <c r="D5" s="191">
        <v>297.88261911322411</v>
      </c>
      <c r="E5" s="188"/>
      <c r="F5" s="192">
        <v>1.302844966601308</v>
      </c>
      <c r="G5" s="192"/>
      <c r="H5" s="186">
        <f>C5*F5</f>
        <v>0.43420113531844379</v>
      </c>
      <c r="I5" s="211">
        <f>H5*B5/$B$5</f>
        <v>0.43420113531844379</v>
      </c>
    </row>
    <row r="6" spans="1:10" x14ac:dyDescent="0.25">
      <c r="A6" s="97" t="s">
        <v>160</v>
      </c>
      <c r="B6" s="184"/>
      <c r="C6" s="186"/>
      <c r="D6" s="191"/>
      <c r="E6" s="188"/>
      <c r="F6" s="192"/>
      <c r="G6" s="192"/>
      <c r="H6" s="186"/>
      <c r="I6" s="211"/>
    </row>
    <row r="7" spans="1:10" x14ac:dyDescent="0.25">
      <c r="A7" s="99" t="s">
        <v>161</v>
      </c>
      <c r="B7" s="184">
        <v>62.104854669298831</v>
      </c>
      <c r="C7" s="186">
        <f>D7/B7</f>
        <v>0.33151577415804939</v>
      </c>
      <c r="D7" s="191">
        <v>20.588738974665752</v>
      </c>
      <c r="E7" s="188"/>
      <c r="F7" s="192">
        <v>1.302844966601308</v>
      </c>
      <c r="G7" s="192"/>
      <c r="H7" s="186">
        <f>C7*F7</f>
        <v>0.43191365771075063</v>
      </c>
      <c r="I7" s="211">
        <f>H7*B7/$B$5</f>
        <v>3.0010659447629713E-2</v>
      </c>
    </row>
    <row r="8" spans="1:10" x14ac:dyDescent="0.25">
      <c r="A8" s="99" t="s">
        <v>162</v>
      </c>
      <c r="B8" s="184">
        <v>523.18996566115243</v>
      </c>
      <c r="C8" s="186">
        <f>D8/B8</f>
        <v>0.33151577415804939</v>
      </c>
      <c r="D8" s="191">
        <v>173.44572649788023</v>
      </c>
      <c r="E8" s="188"/>
      <c r="F8" s="192">
        <v>1.302844966601308</v>
      </c>
      <c r="G8" s="192"/>
      <c r="H8" s="186">
        <f>C8*F8</f>
        <v>0.43191365771075063</v>
      </c>
      <c r="I8" s="211">
        <f>H8*B8/$B$5</f>
        <v>0.25281881697463759</v>
      </c>
    </row>
    <row r="9" spans="1:10" x14ac:dyDescent="0.25">
      <c r="A9" s="100" t="s">
        <v>159</v>
      </c>
      <c r="B9" s="184">
        <v>308.51875909524318</v>
      </c>
      <c r="C9" s="186">
        <f>D9/B9</f>
        <v>0.33151577415804945</v>
      </c>
      <c r="D9" s="191">
        <v>102.27883526374031</v>
      </c>
      <c r="E9" s="188"/>
      <c r="F9" s="192">
        <v>1.302844966601308</v>
      </c>
      <c r="G9" s="192"/>
      <c r="H9" s="186">
        <f>C9*F9</f>
        <v>0.43191365771075069</v>
      </c>
      <c r="I9" s="211">
        <f>H9*B9/$B$5</f>
        <v>0.1490841812884833</v>
      </c>
    </row>
    <row r="10" spans="1:10" x14ac:dyDescent="0.25">
      <c r="A10" s="100"/>
      <c r="B10" s="184"/>
      <c r="C10" s="186"/>
      <c r="D10" s="191"/>
      <c r="E10" s="188"/>
      <c r="F10" s="192"/>
      <c r="G10" s="192"/>
      <c r="H10" s="186"/>
      <c r="I10" s="211"/>
    </row>
    <row r="11" spans="1:10" x14ac:dyDescent="0.25">
      <c r="A11" s="91" t="s">
        <v>163</v>
      </c>
      <c r="B11" s="213"/>
      <c r="C11" s="187"/>
      <c r="D11" s="191"/>
      <c r="E11" s="188"/>
      <c r="F11" s="195"/>
      <c r="G11" s="195"/>
      <c r="H11" s="211"/>
      <c r="I11" s="211">
        <f>SUM(I5:I9)</f>
        <v>0.86611479302919436</v>
      </c>
      <c r="J11" s="25"/>
    </row>
    <row r="12" spans="1:10" x14ac:dyDescent="0.25">
      <c r="A12" s="4"/>
      <c r="B12" s="213"/>
      <c r="C12" s="187"/>
      <c r="D12" s="191"/>
      <c r="E12" s="188"/>
      <c r="F12" s="195"/>
      <c r="G12" s="195"/>
      <c r="H12" s="211"/>
      <c r="I12" s="211"/>
    </row>
    <row r="13" spans="1:10" x14ac:dyDescent="0.25">
      <c r="A13" s="5" t="s">
        <v>157</v>
      </c>
      <c r="B13" s="213"/>
      <c r="C13" s="187"/>
      <c r="D13" s="191"/>
      <c r="E13" s="188"/>
      <c r="F13" s="195"/>
      <c r="G13" s="195"/>
      <c r="H13" s="211"/>
      <c r="I13" s="211"/>
    </row>
    <row r="14" spans="1:10" x14ac:dyDescent="0.25">
      <c r="A14" s="97" t="s">
        <v>156</v>
      </c>
      <c r="B14" s="184">
        <v>9185.9029320479676</v>
      </c>
      <c r="C14" s="186">
        <f>D14/B14</f>
        <v>0.33327152995888004</v>
      </c>
      <c r="D14" s="191">
        <v>3061.3999242173882</v>
      </c>
      <c r="E14" s="188"/>
      <c r="F14" s="192">
        <v>1.302844966601308</v>
      </c>
      <c r="G14" s="192"/>
      <c r="H14" s="186">
        <f>C14*F14</f>
        <v>0.4342011353184439</v>
      </c>
      <c r="I14" s="211">
        <f>B14/$B$14*H14</f>
        <v>0.4342011353184439</v>
      </c>
    </row>
    <row r="15" spans="1:10" x14ac:dyDescent="0.25">
      <c r="A15" s="97" t="s">
        <v>160</v>
      </c>
      <c r="B15" s="214"/>
      <c r="C15" s="211"/>
      <c r="D15" s="212"/>
      <c r="E15" s="47"/>
      <c r="F15" s="47"/>
      <c r="G15" s="47"/>
      <c r="H15" s="211"/>
      <c r="I15" s="211"/>
    </row>
    <row r="16" spans="1:10" x14ac:dyDescent="0.25">
      <c r="A16" s="99" t="s">
        <v>161</v>
      </c>
      <c r="B16" s="184">
        <v>5335.6239308784861</v>
      </c>
      <c r="C16" s="186">
        <f>D16/B16</f>
        <v>0.33151577415804956</v>
      </c>
      <c r="D16" s="191">
        <v>1768.8434980613968</v>
      </c>
      <c r="E16" s="188"/>
      <c r="F16" s="192">
        <v>1.302844966601308</v>
      </c>
      <c r="G16" s="192"/>
      <c r="H16" s="186">
        <f>C16*F16</f>
        <v>0.43191365771075085</v>
      </c>
      <c r="I16" s="211">
        <f>B16/$B$14*H16</f>
        <v>0.25087668193342799</v>
      </c>
    </row>
    <row r="17" spans="1:9" x14ac:dyDescent="0.25">
      <c r="A17" s="99" t="s">
        <v>162</v>
      </c>
      <c r="B17" s="184">
        <v>615.7015856652888</v>
      </c>
      <c r="C17" s="186">
        <f>D17/B17</f>
        <v>0.33151577415804956</v>
      </c>
      <c r="D17" s="191">
        <v>204.11478782216687</v>
      </c>
      <c r="E17" s="188"/>
      <c r="F17" s="192">
        <v>1.302844966601308</v>
      </c>
      <c r="G17" s="47"/>
      <c r="H17" s="186">
        <f>C17*F17</f>
        <v>0.43191365771075085</v>
      </c>
      <c r="I17" s="211">
        <f>B17/$B$14*H17</f>
        <v>2.8949785980779557E-2</v>
      </c>
    </row>
    <row r="18" spans="1:9" x14ac:dyDescent="0.25">
      <c r="A18" s="100" t="s">
        <v>159</v>
      </c>
      <c r="B18" s="184">
        <v>3234.57741550419</v>
      </c>
      <c r="C18" s="186">
        <f>D18/B18</f>
        <v>0.3315157741580495</v>
      </c>
      <c r="D18" s="191">
        <v>1072.3134359750145</v>
      </c>
      <c r="E18" s="188"/>
      <c r="F18" s="192">
        <v>1.302844966601308</v>
      </c>
      <c r="G18" s="47"/>
      <c r="H18" s="186">
        <f>C18*F18</f>
        <v>0.43191365771075074</v>
      </c>
      <c r="I18" s="211">
        <f>B18/$B$14*H18</f>
        <v>0.15208718979654315</v>
      </c>
    </row>
    <row r="19" spans="1:9" x14ac:dyDescent="0.25">
      <c r="A19" s="100"/>
      <c r="B19" s="185"/>
      <c r="C19" s="185"/>
      <c r="D19" s="184"/>
      <c r="E19" s="188"/>
      <c r="F19" s="192"/>
      <c r="G19" s="47"/>
      <c r="H19" s="185"/>
      <c r="I19" s="211"/>
    </row>
    <row r="20" spans="1:9" x14ac:dyDescent="0.25">
      <c r="A20" s="91" t="s">
        <v>266</v>
      </c>
      <c r="B20" s="215"/>
      <c r="C20" s="216"/>
      <c r="D20" s="214"/>
      <c r="E20" s="47"/>
      <c r="F20" s="47"/>
      <c r="G20" s="47"/>
      <c r="H20" s="47"/>
      <c r="I20" s="211">
        <f>SUM(I14:I18)</f>
        <v>0.86611479302919459</v>
      </c>
    </row>
    <row r="21" spans="1:9" hidden="1" x14ac:dyDescent="0.25"/>
    <row r="22" spans="1:9" hidden="1" x14ac:dyDescent="0.25">
      <c r="B22" s="549" t="s">
        <v>188</v>
      </c>
      <c r="C22" s="128">
        <v>0</v>
      </c>
      <c r="D22" s="128">
        <v>0</v>
      </c>
    </row>
    <row r="23" spans="1:9" hidden="1" x14ac:dyDescent="0.25">
      <c r="B23" s="549" t="s">
        <v>188</v>
      </c>
      <c r="C23" s="128">
        <v>0</v>
      </c>
      <c r="D23" s="128">
        <v>0</v>
      </c>
    </row>
    <row r="24" spans="1:9" hidden="1" x14ac:dyDescent="0.25">
      <c r="B24" s="549" t="s">
        <v>188</v>
      </c>
      <c r="C24" s="128">
        <v>0</v>
      </c>
      <c r="D24" s="128">
        <v>0</v>
      </c>
    </row>
    <row r="25" spans="1:9" hidden="1" x14ac:dyDescent="0.25">
      <c r="B25" s="549" t="s">
        <v>188</v>
      </c>
      <c r="C25" s="128">
        <v>0</v>
      </c>
      <c r="D25" s="128">
        <v>0</v>
      </c>
    </row>
    <row r="26" spans="1:9" hidden="1" x14ac:dyDescent="0.25">
      <c r="B26" s="549" t="s">
        <v>188</v>
      </c>
      <c r="C26" s="130"/>
      <c r="D26" s="128">
        <v>0</v>
      </c>
    </row>
    <row r="27" spans="1:9" hidden="1" x14ac:dyDescent="0.25">
      <c r="B27" s="549" t="s">
        <v>188</v>
      </c>
      <c r="C27" s="128">
        <v>0</v>
      </c>
      <c r="D27" s="128">
        <v>0</v>
      </c>
    </row>
    <row r="28" spans="1:9" hidden="1" x14ac:dyDescent="0.25">
      <c r="B28" s="549" t="s">
        <v>188</v>
      </c>
      <c r="C28" s="128">
        <v>0</v>
      </c>
      <c r="D28" s="128">
        <v>0</v>
      </c>
    </row>
    <row r="29" spans="1:9" hidden="1" x14ac:dyDescent="0.25">
      <c r="B29" s="549" t="s">
        <v>188</v>
      </c>
      <c r="C29" s="128">
        <v>0</v>
      </c>
      <c r="D29" s="128">
        <v>0</v>
      </c>
    </row>
    <row r="30" spans="1:9" hidden="1" x14ac:dyDescent="0.25">
      <c r="B30" s="549" t="s">
        <v>188</v>
      </c>
      <c r="C30" s="128">
        <v>0</v>
      </c>
      <c r="D30" s="128">
        <v>0</v>
      </c>
    </row>
    <row r="31" spans="1:9" hidden="1" x14ac:dyDescent="0.25">
      <c r="B31" s="549" t="s">
        <v>188</v>
      </c>
      <c r="C31" s="130"/>
      <c r="D31" s="128">
        <v>0</v>
      </c>
    </row>
    <row r="32" spans="1:9" hidden="1" x14ac:dyDescent="0.25">
      <c r="B32" s="550" t="s">
        <v>188</v>
      </c>
      <c r="C32" s="128">
        <f>C5-C14</f>
        <v>0</v>
      </c>
      <c r="D32" s="128">
        <f>B5-B7-B8-B9</f>
        <v>0</v>
      </c>
    </row>
    <row r="33" spans="1:4" hidden="1" x14ac:dyDescent="0.25">
      <c r="B33" s="550" t="s">
        <v>188</v>
      </c>
      <c r="C33" s="128">
        <f>C7-C16</f>
        <v>0</v>
      </c>
      <c r="D33" s="128">
        <f>B14-B16-B17-B18</f>
        <v>0</v>
      </c>
    </row>
    <row r="34" spans="1:4" hidden="1" x14ac:dyDescent="0.25">
      <c r="B34" s="550" t="s">
        <v>188</v>
      </c>
      <c r="C34" s="128">
        <f>C8-C17</f>
        <v>0</v>
      </c>
    </row>
    <row r="35" spans="1:4" hidden="1" x14ac:dyDescent="0.25">
      <c r="B35" s="550" t="s">
        <v>188</v>
      </c>
      <c r="C35" s="128">
        <f>C9-C18</f>
        <v>0</v>
      </c>
    </row>
    <row r="36" spans="1:4" x14ac:dyDescent="0.25">
      <c r="A36" s="141"/>
      <c r="B36" s="297"/>
      <c r="C36" s="293"/>
      <c r="D36" s="298"/>
    </row>
    <row r="37" spans="1:4" x14ac:dyDescent="0.25">
      <c r="A37" s="11" t="s">
        <v>235</v>
      </c>
    </row>
    <row r="38" spans="1:4" x14ac:dyDescent="0.25">
      <c r="A38" s="25" t="s">
        <v>814</v>
      </c>
    </row>
    <row r="39" spans="1:4" x14ac:dyDescent="0.25">
      <c r="A39" s="25"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pageSetUpPr fitToPage="1"/>
  </sheetPr>
  <dimension ref="A1:K23"/>
  <sheetViews>
    <sheetView zoomScale="70" workbookViewId="0"/>
  </sheetViews>
  <sheetFormatPr defaultColWidth="9.109375" defaultRowHeight="13.2" x14ac:dyDescent="0.25"/>
  <cols>
    <col min="1" max="1" width="43.44140625" style="11" customWidth="1"/>
    <col min="2" max="2" width="11.6640625" style="77" customWidth="1"/>
    <col min="3" max="3" width="11.6640625" style="62" customWidth="1"/>
    <col min="4" max="4" width="11.6640625" style="63" customWidth="1"/>
    <col min="5" max="5" width="2.5546875" style="11" customWidth="1"/>
    <col min="6" max="6" width="11.6640625" style="11" customWidth="1"/>
    <col min="7" max="7" width="2.5546875" style="11" customWidth="1"/>
    <col min="8" max="8" width="11.6640625" style="64" customWidth="1"/>
    <col min="9" max="9" width="11.6640625" style="11" customWidth="1"/>
    <col min="10" max="16384" width="9.109375" style="11"/>
  </cols>
  <sheetData>
    <row r="1" spans="1:11" s="24" customFormat="1" ht="15.6" x14ac:dyDescent="0.3">
      <c r="A1" s="157" t="s">
        <v>715</v>
      </c>
      <c r="B1" s="93"/>
      <c r="C1" s="94"/>
      <c r="D1" s="95"/>
      <c r="H1" s="96"/>
    </row>
    <row r="2" spans="1:11" ht="15.6" x14ac:dyDescent="0.3">
      <c r="A2" s="158" t="s">
        <v>787</v>
      </c>
      <c r="B2" s="73"/>
      <c r="C2" s="59"/>
      <c r="D2" s="60"/>
      <c r="E2" s="36"/>
      <c r="F2" s="36"/>
      <c r="G2" s="36"/>
      <c r="H2" s="61"/>
    </row>
    <row r="3" spans="1:11" s="4" customFormat="1" ht="26.4" x14ac:dyDescent="0.25">
      <c r="A3" s="16" t="s">
        <v>155</v>
      </c>
      <c r="B3" s="168" t="s">
        <v>250</v>
      </c>
      <c r="C3" s="183" t="s">
        <v>104</v>
      </c>
      <c r="D3" s="189" t="s">
        <v>249</v>
      </c>
      <c r="E3" s="161"/>
      <c r="F3" s="160" t="s">
        <v>246</v>
      </c>
      <c r="G3" s="159"/>
      <c r="H3" s="159" t="s">
        <v>133</v>
      </c>
      <c r="I3" s="41" t="s">
        <v>158</v>
      </c>
    </row>
    <row r="4" spans="1:11" x14ac:dyDescent="0.25">
      <c r="A4" s="97" t="s">
        <v>154</v>
      </c>
      <c r="B4" s="7">
        <v>84.735872364005502</v>
      </c>
      <c r="C4" s="187">
        <f>D4/B4</f>
        <v>0.35220120378467484</v>
      </c>
      <c r="D4" s="193">
        <v>29.8440762503473</v>
      </c>
      <c r="E4" s="58"/>
      <c r="F4" s="192">
        <v>1.291821998616554</v>
      </c>
      <c r="G4" s="192"/>
      <c r="H4" s="186">
        <f>C4*F4</f>
        <v>0.4549812629882749</v>
      </c>
      <c r="I4" s="187">
        <f>D4/SUM($D$4:$D$5)*H4</f>
        <v>0.12496236644296456</v>
      </c>
      <c r="J4" s="187"/>
      <c r="K4" s="63"/>
    </row>
    <row r="5" spans="1:11" x14ac:dyDescent="0.25">
      <c r="A5" s="98" t="s">
        <v>165</v>
      </c>
      <c r="B5" s="7">
        <v>223.78288673123771</v>
      </c>
      <c r="C5" s="187">
        <f>D5/B5</f>
        <v>0.35220120378467479</v>
      </c>
      <c r="D5" s="193">
        <v>78.816602093151445</v>
      </c>
      <c r="E5" s="58"/>
      <c r="F5" s="192">
        <v>1.291821998616554</v>
      </c>
      <c r="G5" s="192"/>
      <c r="H5" s="186">
        <f>C5*F5</f>
        <v>0.45498126298827479</v>
      </c>
      <c r="I5" s="187">
        <f>D5/SUM($D$4:$D$5)*H5</f>
        <v>0.33001889654531025</v>
      </c>
      <c r="J5" s="187"/>
      <c r="K5" s="63"/>
    </row>
    <row r="6" spans="1:11" x14ac:dyDescent="0.25">
      <c r="A6" s="4"/>
      <c r="B6" s="217"/>
      <c r="C6" s="187"/>
      <c r="D6" s="191"/>
      <c r="E6" s="188"/>
      <c r="F6" s="195"/>
      <c r="G6" s="195"/>
      <c r="H6" s="186"/>
      <c r="I6" s="187"/>
      <c r="J6" s="187"/>
    </row>
    <row r="7" spans="1:11" x14ac:dyDescent="0.25">
      <c r="A7" s="91" t="s">
        <v>163</v>
      </c>
      <c r="B7" s="217"/>
      <c r="C7" s="187"/>
      <c r="D7" s="191"/>
      <c r="E7" s="188"/>
      <c r="F7" s="195"/>
      <c r="G7" s="195"/>
      <c r="H7" s="186"/>
      <c r="I7" s="187">
        <f>SUM(I4:I5)</f>
        <v>0.45498126298827479</v>
      </c>
      <c r="J7" s="286"/>
    </row>
    <row r="8" spans="1:11" x14ac:dyDescent="0.25">
      <c r="A8" s="4"/>
      <c r="B8" s="217"/>
      <c r="C8" s="187"/>
      <c r="D8" s="191"/>
      <c r="E8" s="188"/>
      <c r="F8" s="195"/>
      <c r="G8" s="195"/>
      <c r="H8" s="186"/>
      <c r="I8" s="187"/>
      <c r="J8" s="187"/>
    </row>
    <row r="9" spans="1:11" x14ac:dyDescent="0.25">
      <c r="A9" s="5" t="s">
        <v>157</v>
      </c>
      <c r="B9" s="215"/>
      <c r="C9" s="211"/>
      <c r="D9" s="212"/>
      <c r="E9" s="47"/>
      <c r="F9" s="47"/>
      <c r="G9" s="47"/>
      <c r="H9" s="211"/>
      <c r="I9" s="211"/>
      <c r="J9" s="211"/>
      <c r="K9" s="63"/>
    </row>
    <row r="10" spans="1:11" x14ac:dyDescent="0.25">
      <c r="A10" s="97" t="s">
        <v>154</v>
      </c>
      <c r="B10" s="7">
        <v>787.93352453504417</v>
      </c>
      <c r="C10" s="187">
        <f>D10/B10</f>
        <v>0.35220120378467484</v>
      </c>
      <c r="D10" s="193">
        <v>277.5111358435442</v>
      </c>
      <c r="E10" s="58"/>
      <c r="F10" s="192">
        <v>1.291821998616554</v>
      </c>
      <c r="G10" s="192"/>
      <c r="H10" s="186">
        <f>C10*F10</f>
        <v>0.4549812629882749</v>
      </c>
      <c r="I10" s="187">
        <f>D10/SUM($D$10:$D$11)*H10</f>
        <v>0.22897779500458779</v>
      </c>
      <c r="J10" s="187"/>
    </row>
    <row r="11" spans="1:11" x14ac:dyDescent="0.25">
      <c r="A11" s="98" t="s">
        <v>165</v>
      </c>
      <c r="B11" s="7">
        <v>777.69859335907097</v>
      </c>
      <c r="C11" s="187">
        <f>D11/B11</f>
        <v>0.35220120378467479</v>
      </c>
      <c r="D11" s="193">
        <v>273.90638076271307</v>
      </c>
      <c r="E11" s="47"/>
      <c r="F11" s="192">
        <v>1.291821998616554</v>
      </c>
      <c r="G11" s="47"/>
      <c r="H11" s="186">
        <f>C11*F11</f>
        <v>0.45498126298827479</v>
      </c>
      <c r="I11" s="187">
        <f>D11/SUM($D$10:$D$11)*H11</f>
        <v>0.22600346798368703</v>
      </c>
      <c r="J11" s="187"/>
    </row>
    <row r="12" spans="1:11" x14ac:dyDescent="0.25">
      <c r="B12" s="214"/>
      <c r="C12" s="218"/>
      <c r="D12" s="215"/>
      <c r="E12" s="47"/>
      <c r="F12" s="47"/>
      <c r="G12" s="47"/>
      <c r="H12" s="211"/>
      <c r="I12" s="211"/>
      <c r="J12" s="211"/>
    </row>
    <row r="13" spans="1:11" x14ac:dyDescent="0.25">
      <c r="A13" s="91" t="s">
        <v>266</v>
      </c>
      <c r="B13" s="214"/>
      <c r="C13" s="218"/>
      <c r="D13" s="7"/>
      <c r="E13" s="47"/>
      <c r="F13" s="47"/>
      <c r="G13" s="47"/>
      <c r="H13" s="211"/>
      <c r="I13" s="187">
        <f>SUM(I10:I11)</f>
        <v>0.45498126298827479</v>
      </c>
      <c r="J13" s="187"/>
    </row>
    <row r="14" spans="1:11" hidden="1" x14ac:dyDescent="0.25"/>
    <row r="15" spans="1:11" hidden="1" x14ac:dyDescent="0.25">
      <c r="B15" s="549" t="s">
        <v>188</v>
      </c>
      <c r="C15" s="128">
        <v>0</v>
      </c>
      <c r="D15" s="128">
        <v>0</v>
      </c>
      <c r="I15" s="63"/>
    </row>
    <row r="16" spans="1:11" hidden="1" x14ac:dyDescent="0.25">
      <c r="B16" s="549" t="s">
        <v>188</v>
      </c>
      <c r="C16" s="128">
        <v>0</v>
      </c>
      <c r="D16" s="128">
        <v>0</v>
      </c>
    </row>
    <row r="17" spans="1:4" hidden="1" x14ac:dyDescent="0.25">
      <c r="B17" s="549" t="s">
        <v>188</v>
      </c>
      <c r="C17" s="128">
        <v>0</v>
      </c>
      <c r="D17" s="128">
        <v>0</v>
      </c>
    </row>
    <row r="18" spans="1:4" hidden="1" x14ac:dyDescent="0.25">
      <c r="B18" s="549" t="s">
        <v>188</v>
      </c>
      <c r="C18" s="128">
        <v>0</v>
      </c>
      <c r="D18" s="128">
        <v>0</v>
      </c>
    </row>
    <row r="19" spans="1:4" hidden="1" x14ac:dyDescent="0.25">
      <c r="B19" s="549" t="s">
        <v>188</v>
      </c>
      <c r="C19" s="128">
        <f>C4-C10</f>
        <v>0</v>
      </c>
      <c r="D19" s="128">
        <f>C5-C11</f>
        <v>0</v>
      </c>
    </row>
    <row r="20" spans="1:4" x14ac:dyDescent="0.25">
      <c r="A20" s="141"/>
      <c r="B20" s="298"/>
      <c r="C20" s="290"/>
      <c r="D20" s="297"/>
    </row>
    <row r="21" spans="1:4" x14ac:dyDescent="0.25">
      <c r="A21" s="11" t="s">
        <v>235</v>
      </c>
    </row>
    <row r="22" spans="1:4" x14ac:dyDescent="0.25">
      <c r="A22" s="25" t="s">
        <v>814</v>
      </c>
    </row>
    <row r="23" spans="1:4" x14ac:dyDescent="0.25">
      <c r="A23" s="25"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pageSetUpPr fitToPage="1"/>
  </sheetPr>
  <dimension ref="A1:H22"/>
  <sheetViews>
    <sheetView zoomScale="70" workbookViewId="0"/>
  </sheetViews>
  <sheetFormatPr defaultRowHeight="13.2" x14ac:dyDescent="0.25"/>
  <cols>
    <col min="1" max="1" width="33.44140625" bestFit="1" customWidth="1"/>
    <col min="2" max="2" width="11.6640625" customWidth="1"/>
    <col min="3" max="3" width="3.5546875" customWidth="1"/>
    <col min="4" max="4" width="11.6640625" customWidth="1"/>
    <col min="5" max="5" width="3.5546875" customWidth="1"/>
    <col min="6" max="6" width="11.6640625" customWidth="1"/>
    <col min="7" max="7" width="3.5546875" customWidth="1"/>
    <col min="8" max="8" width="9.6640625" customWidth="1"/>
  </cols>
  <sheetData>
    <row r="1" spans="1:8" ht="15.6" x14ac:dyDescent="0.3">
      <c r="A1" s="157" t="s">
        <v>716</v>
      </c>
    </row>
    <row r="2" spans="1:8" ht="15.6" x14ac:dyDescent="0.3">
      <c r="A2" s="158" t="s">
        <v>787</v>
      </c>
    </row>
    <row r="3" spans="1:8" ht="15.6" x14ac:dyDescent="0.3">
      <c r="A3" s="454"/>
    </row>
    <row r="4" spans="1:8" x14ac:dyDescent="0.25">
      <c r="A4" s="16" t="s">
        <v>512</v>
      </c>
    </row>
    <row r="5" spans="1:8" ht="26.4" x14ac:dyDescent="0.25">
      <c r="A5" s="18"/>
      <c r="B5" s="168" t="s">
        <v>514</v>
      </c>
      <c r="C5" s="168"/>
      <c r="D5" s="168" t="s">
        <v>515</v>
      </c>
      <c r="E5" s="168"/>
      <c r="F5" s="168" t="s">
        <v>516</v>
      </c>
      <c r="G5" s="168"/>
      <c r="H5" s="168"/>
    </row>
    <row r="6" spans="1:8" x14ac:dyDescent="0.25">
      <c r="A6" s="25" t="s">
        <v>99</v>
      </c>
      <c r="B6" s="6">
        <v>0</v>
      </c>
      <c r="C6" s="292" t="s">
        <v>236</v>
      </c>
      <c r="D6" s="6">
        <f>F6-B6</f>
        <v>1202.3323385209376</v>
      </c>
      <c r="E6" s="6"/>
      <c r="F6" s="6">
        <f>'Table 3.32-Accounting Post Due'!B4</f>
        <v>1202.3323385209376</v>
      </c>
      <c r="G6" s="292" t="s">
        <v>238</v>
      </c>
    </row>
    <row r="7" spans="1:8" x14ac:dyDescent="0.25">
      <c r="A7" s="25" t="s">
        <v>100</v>
      </c>
      <c r="B7" s="6">
        <v>0</v>
      </c>
      <c r="C7" s="292" t="s">
        <v>236</v>
      </c>
      <c r="D7" s="6">
        <f>F7-B7</f>
        <v>893.81357942569446</v>
      </c>
      <c r="E7" s="6"/>
      <c r="F7" s="6">
        <f>'Table 3.33-Delivery Post Due'!B5</f>
        <v>893.81357942569446</v>
      </c>
      <c r="G7" s="292" t="s">
        <v>239</v>
      </c>
      <c r="H7" s="234"/>
    </row>
    <row r="8" spans="1:8" x14ac:dyDescent="0.25">
      <c r="A8" s="20" t="s">
        <v>210</v>
      </c>
      <c r="B8" s="6">
        <v>0</v>
      </c>
      <c r="C8" s="292" t="s">
        <v>236</v>
      </c>
      <c r="D8" s="324">
        <f>F8-B8</f>
        <v>308.51875909524324</v>
      </c>
      <c r="E8" s="324"/>
      <c r="F8" s="324">
        <f>SUM('Table 3.34-Window Post Due'!B4:B5)</f>
        <v>308.51875909524324</v>
      </c>
      <c r="G8" s="299" t="s">
        <v>240</v>
      </c>
      <c r="H8" s="496"/>
    </row>
    <row r="11" spans="1:8" x14ac:dyDescent="0.25">
      <c r="A11" s="493" t="s">
        <v>513</v>
      </c>
    </row>
    <row r="12" spans="1:8" ht="26.4" x14ac:dyDescent="0.25">
      <c r="B12" s="168" t="s">
        <v>514</v>
      </c>
      <c r="C12" s="168"/>
      <c r="D12" s="168" t="s">
        <v>515</v>
      </c>
      <c r="E12" s="168"/>
      <c r="F12" s="168" t="s">
        <v>516</v>
      </c>
      <c r="G12" s="168"/>
      <c r="H12" s="168"/>
    </row>
    <row r="13" spans="1:8" x14ac:dyDescent="0.25">
      <c r="A13" s="18"/>
      <c r="B13" s="221" t="s">
        <v>511</v>
      </c>
      <c r="C13" s="221"/>
      <c r="D13" s="221" t="s">
        <v>511</v>
      </c>
      <c r="E13" s="221"/>
      <c r="F13" s="221" t="s">
        <v>511</v>
      </c>
      <c r="G13" s="221"/>
      <c r="H13" s="495"/>
    </row>
    <row r="14" spans="1:8" x14ac:dyDescent="0.25">
      <c r="A14" s="25" t="s">
        <v>99</v>
      </c>
      <c r="B14" s="6">
        <v>4427.0826310645789</v>
      </c>
      <c r="C14" s="292" t="s">
        <v>236</v>
      </c>
      <c r="D14" s="6">
        <f>F14-B14</f>
        <v>7993.3977164875796</v>
      </c>
      <c r="E14" s="6"/>
      <c r="F14" s="6">
        <f>'Table 3.32-Accounting Post Due'!B10</f>
        <v>12420.480347552158</v>
      </c>
      <c r="G14" s="292" t="s">
        <v>238</v>
      </c>
    </row>
    <row r="15" spans="1:8" x14ac:dyDescent="0.25">
      <c r="A15" s="25" t="s">
        <v>100</v>
      </c>
      <c r="B15" s="6">
        <v>3664.6606454625644</v>
      </c>
      <c r="C15" s="292" t="s">
        <v>236</v>
      </c>
      <c r="D15" s="6">
        <f>F15-B15</f>
        <v>5521.2422865854032</v>
      </c>
      <c r="E15" s="6"/>
      <c r="F15" s="6">
        <f>'Table 3.33-Delivery Post Due'!B14</f>
        <v>9185.9029320479676</v>
      </c>
      <c r="G15" s="292" t="s">
        <v>239</v>
      </c>
      <c r="H15" s="234"/>
    </row>
    <row r="16" spans="1:8" x14ac:dyDescent="0.25">
      <c r="A16" s="20" t="s">
        <v>210</v>
      </c>
      <c r="B16" s="6">
        <v>420.6193148675174</v>
      </c>
      <c r="C16" s="292" t="s">
        <v>236</v>
      </c>
      <c r="D16" s="324">
        <f>F16-B16</f>
        <v>1145.0128030265978</v>
      </c>
      <c r="E16" s="324"/>
      <c r="F16" s="324">
        <f>SUM('Table 3.34-Window Post Due'!B10:B11)</f>
        <v>1565.6321178941153</v>
      </c>
      <c r="G16" s="299" t="s">
        <v>240</v>
      </c>
      <c r="H16" s="496"/>
    </row>
    <row r="17" spans="1:4" x14ac:dyDescent="0.25">
      <c r="A17" s="141"/>
      <c r="B17" s="298"/>
      <c r="C17" s="290"/>
      <c r="D17" s="297"/>
    </row>
    <row r="18" spans="1:4" x14ac:dyDescent="0.25">
      <c r="A18" s="11" t="s">
        <v>235</v>
      </c>
      <c r="B18" s="77"/>
      <c r="C18" s="62"/>
      <c r="D18" s="63"/>
    </row>
    <row r="19" spans="1:4" x14ac:dyDescent="0.25">
      <c r="A19" s="25" t="s">
        <v>815</v>
      </c>
      <c r="B19" s="77"/>
      <c r="C19" s="62"/>
      <c r="D19" s="63"/>
    </row>
    <row r="20" spans="1:4" x14ac:dyDescent="0.25">
      <c r="A20" s="25" t="s">
        <v>701</v>
      </c>
      <c r="B20" s="77"/>
      <c r="C20" s="62"/>
      <c r="D20" s="63"/>
    </row>
    <row r="21" spans="1:4" x14ac:dyDescent="0.25">
      <c r="A21" s="25" t="s">
        <v>702</v>
      </c>
    </row>
    <row r="22" spans="1:4" x14ac:dyDescent="0.25">
      <c r="A22" s="25" t="s">
        <v>703</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A1:J24"/>
  <sheetViews>
    <sheetView zoomScale="70" workbookViewId="0"/>
  </sheetViews>
  <sheetFormatPr defaultColWidth="9.109375" defaultRowHeight="13.2" x14ac:dyDescent="0.25"/>
  <cols>
    <col min="1" max="1" width="39.44140625" style="18" bestFit="1" customWidth="1"/>
    <col min="2" max="2" width="8.109375" style="18" customWidth="1"/>
    <col min="3" max="3" width="2.6640625" style="18" customWidth="1"/>
    <col min="4" max="4" width="8.6640625" style="18" customWidth="1"/>
    <col min="5" max="5" width="2.6640625" style="18" customWidth="1"/>
    <col min="6" max="6" width="11.6640625" style="18" customWidth="1"/>
    <col min="7" max="7" width="2.6640625" style="18" customWidth="1"/>
    <col min="8" max="8" width="11.6640625" style="18" customWidth="1"/>
    <col min="9" max="9" width="2.6640625" style="18" customWidth="1"/>
    <col min="10" max="10" width="11.6640625" style="18" customWidth="1"/>
    <col min="11" max="16384" width="9.109375" style="18"/>
  </cols>
  <sheetData>
    <row r="1" spans="1:10" ht="15.6" x14ac:dyDescent="0.3">
      <c r="A1" s="157" t="s">
        <v>717</v>
      </c>
    </row>
    <row r="2" spans="1:10" ht="15.6" x14ac:dyDescent="0.3">
      <c r="A2" s="158" t="s">
        <v>787</v>
      </c>
    </row>
    <row r="3" spans="1:10" ht="5.0999999999999996" customHeight="1" x14ac:dyDescent="0.3">
      <c r="A3" s="454"/>
    </row>
    <row r="4" spans="1:10" x14ac:dyDescent="0.25">
      <c r="A4" s="131" t="s">
        <v>190</v>
      </c>
      <c r="B4" s="219">
        <v>746.97285239239011</v>
      </c>
      <c r="C4" s="219"/>
    </row>
    <row r="5" spans="1:10" ht="26.4" x14ac:dyDescent="0.25">
      <c r="A5" s="19" t="s">
        <v>254</v>
      </c>
      <c r="B5" s="220" t="s">
        <v>189</v>
      </c>
      <c r="C5" s="220"/>
      <c r="D5" s="220" t="s">
        <v>164</v>
      </c>
      <c r="E5" s="220"/>
      <c r="F5" s="183" t="s">
        <v>179</v>
      </c>
      <c r="G5" s="220"/>
      <c r="H5" s="220" t="s">
        <v>251</v>
      </c>
      <c r="I5" s="221"/>
      <c r="J5" s="222" t="s">
        <v>183</v>
      </c>
    </row>
    <row r="6" spans="1:10" x14ac:dyDescent="0.25">
      <c r="A6" s="112" t="s">
        <v>180</v>
      </c>
      <c r="B6" s="223">
        <v>30</v>
      </c>
      <c r="C6" s="299" t="s">
        <v>238</v>
      </c>
      <c r="D6" s="115">
        <v>44.470200044181468</v>
      </c>
      <c r="E6" s="299" t="s">
        <v>238</v>
      </c>
      <c r="F6" s="224">
        <f>($B$4/B6*D6)/$B$4</f>
        <v>1.4823400014727155</v>
      </c>
      <c r="G6" s="115"/>
      <c r="H6" s="225">
        <v>1.302844966601308</v>
      </c>
      <c r="I6" s="221"/>
      <c r="J6" s="224">
        <f>H6*F6</f>
        <v>1.9312592097105028</v>
      </c>
    </row>
    <row r="7" spans="1:10" x14ac:dyDescent="0.25">
      <c r="A7" s="112" t="s">
        <v>181</v>
      </c>
      <c r="B7" s="223">
        <v>114.19779465085449</v>
      </c>
      <c r="C7" s="299" t="s">
        <v>238</v>
      </c>
      <c r="D7" s="115">
        <v>44.204500000000003</v>
      </c>
      <c r="E7" s="299" t="s">
        <v>238</v>
      </c>
      <c r="F7" s="224">
        <f>($B$4/B7*D7)/$B$4</f>
        <v>0.38708715991538845</v>
      </c>
      <c r="G7" s="115"/>
      <c r="H7" s="226">
        <v>3.8567835924021443</v>
      </c>
      <c r="I7" s="221"/>
      <c r="J7" s="224">
        <f>H7*F7</f>
        <v>1.4929114071912151</v>
      </c>
    </row>
    <row r="8" spans="1:10" x14ac:dyDescent="0.25">
      <c r="A8" s="112"/>
      <c r="B8" s="221"/>
      <c r="C8" s="221"/>
      <c r="D8" s="221"/>
      <c r="E8" s="221"/>
      <c r="F8" s="224"/>
      <c r="G8" s="147"/>
      <c r="H8" s="221"/>
      <c r="I8" s="221"/>
      <c r="J8" s="224"/>
    </row>
    <row r="9" spans="1:10" x14ac:dyDescent="0.25">
      <c r="A9" s="91" t="s">
        <v>255</v>
      </c>
      <c r="B9" s="221"/>
      <c r="C9" s="221"/>
      <c r="D9" s="115" t="s">
        <v>106</v>
      </c>
      <c r="E9" s="115"/>
      <c r="F9" s="224">
        <v>4.2473853561834085E-2</v>
      </c>
      <c r="G9" s="300" t="s">
        <v>239</v>
      </c>
      <c r="H9" s="207">
        <v>1.6624309879114112</v>
      </c>
      <c r="I9" s="221"/>
      <c r="J9" s="224">
        <f>H9*F9</f>
        <v>7.0609850337204447E-2</v>
      </c>
    </row>
    <row r="10" spans="1:10" x14ac:dyDescent="0.25">
      <c r="A10" s="110"/>
      <c r="B10" s="221"/>
      <c r="C10" s="221"/>
      <c r="D10" s="221"/>
      <c r="E10" s="221"/>
      <c r="F10" s="224"/>
      <c r="G10" s="147"/>
      <c r="H10" s="221"/>
      <c r="I10" s="221"/>
      <c r="J10" s="224"/>
    </row>
    <row r="11" spans="1:10" x14ac:dyDescent="0.25">
      <c r="A11" s="19" t="s">
        <v>253</v>
      </c>
      <c r="B11" s="221"/>
      <c r="C11" s="221"/>
      <c r="D11" s="115"/>
      <c r="E11" s="115"/>
      <c r="F11" s="224"/>
      <c r="G11" s="147"/>
      <c r="H11" s="221"/>
      <c r="I11" s="221"/>
      <c r="J11" s="224"/>
    </row>
    <row r="12" spans="1:10" x14ac:dyDescent="0.25">
      <c r="A12" s="112" t="s">
        <v>181</v>
      </c>
      <c r="B12" s="221"/>
      <c r="C12" s="221"/>
      <c r="D12" s="221"/>
      <c r="E12" s="221"/>
      <c r="F12" s="224"/>
      <c r="G12" s="115"/>
      <c r="H12" s="221"/>
      <c r="I12" s="221"/>
      <c r="J12" s="224"/>
    </row>
    <row r="13" spans="1:10" x14ac:dyDescent="0.25">
      <c r="A13" s="114" t="s">
        <v>153</v>
      </c>
      <c r="B13" s="223">
        <v>114.19779465085449</v>
      </c>
      <c r="C13" s="299" t="s">
        <v>238</v>
      </c>
      <c r="D13" s="115">
        <v>44.204500000000003</v>
      </c>
      <c r="E13" s="299" t="s">
        <v>238</v>
      </c>
      <c r="F13" s="224">
        <f>($B$4/B13*D13)/$B$4</f>
        <v>0.38708715991538845</v>
      </c>
      <c r="G13" s="115"/>
      <c r="H13" s="226">
        <v>3.8567835924021443</v>
      </c>
      <c r="I13" s="221"/>
      <c r="J13" s="224" t="s">
        <v>247</v>
      </c>
    </row>
    <row r="14" spans="1:10" x14ac:dyDescent="0.25">
      <c r="A14" s="114" t="s">
        <v>152</v>
      </c>
      <c r="B14" s="223">
        <v>167.55812153748252</v>
      </c>
      <c r="C14" s="299" t="s">
        <v>238</v>
      </c>
      <c r="D14" s="115">
        <v>44.204500000000003</v>
      </c>
      <c r="E14" s="299" t="s">
        <v>238</v>
      </c>
      <c r="F14" s="224">
        <f>($B$4/B14*D14)/$B$4</f>
        <v>0.26381592007828469</v>
      </c>
      <c r="G14" s="115"/>
      <c r="H14" s="226">
        <v>3.8567835924021443</v>
      </c>
      <c r="I14" s="221"/>
      <c r="J14" s="224">
        <f>H14*F14</f>
        <v>1.0174809119724038</v>
      </c>
    </row>
    <row r="15" spans="1:10" x14ac:dyDescent="0.25">
      <c r="A15" s="112" t="s">
        <v>182</v>
      </c>
      <c r="B15" s="223">
        <v>504.83575730706781</v>
      </c>
      <c r="C15" s="299" t="s">
        <v>238</v>
      </c>
      <c r="D15" s="115">
        <v>44.204500000000003</v>
      </c>
      <c r="E15" s="299" t="s">
        <v>238</v>
      </c>
      <c r="F15" s="224">
        <v>8.756214146913624E-2</v>
      </c>
      <c r="G15" s="115"/>
      <c r="H15" s="226">
        <v>3.8567835924021443</v>
      </c>
      <c r="I15" s="221"/>
      <c r="J15" s="224">
        <f>H15*F15</f>
        <v>0.33770823053376003</v>
      </c>
    </row>
    <row r="16" spans="1:10" x14ac:dyDescent="0.25">
      <c r="B16" s="147"/>
      <c r="C16" s="147"/>
      <c r="D16" s="115"/>
      <c r="E16" s="115"/>
      <c r="F16" s="224"/>
      <c r="G16" s="221"/>
      <c r="H16" s="221"/>
      <c r="I16" s="221"/>
      <c r="J16" s="224"/>
    </row>
    <row r="17" spans="1:10" x14ac:dyDescent="0.25">
      <c r="A17" s="91" t="s">
        <v>102</v>
      </c>
      <c r="B17" s="221"/>
      <c r="C17" s="221"/>
      <c r="D17" s="221"/>
      <c r="E17" s="221"/>
      <c r="F17" s="224">
        <f>SUM(F6:F15)</f>
        <v>2.6503662364127472</v>
      </c>
      <c r="G17" s="115"/>
      <c r="H17" s="221"/>
      <c r="I17" s="221"/>
      <c r="J17" s="224">
        <f>SUM(J6:J15)</f>
        <v>4.8499696097450862</v>
      </c>
    </row>
    <row r="18" spans="1:10" hidden="1" x14ac:dyDescent="0.25">
      <c r="B18" s="221"/>
      <c r="C18" s="221"/>
      <c r="D18" s="221"/>
      <c r="E18" s="221"/>
      <c r="F18" s="221"/>
      <c r="G18" s="221"/>
      <c r="H18" s="221"/>
      <c r="I18" s="221"/>
      <c r="J18" s="221"/>
    </row>
    <row r="19" spans="1:10" hidden="1" x14ac:dyDescent="0.25">
      <c r="B19" s="122"/>
      <c r="C19" s="122"/>
      <c r="D19" s="123" t="s">
        <v>188</v>
      </c>
      <c r="E19" s="123"/>
      <c r="F19" s="124">
        <v>0</v>
      </c>
      <c r="G19" s="113"/>
    </row>
    <row r="20" spans="1:10" x14ac:dyDescent="0.25">
      <c r="A20" s="283"/>
      <c r="B20" s="283"/>
      <c r="C20" s="283"/>
      <c r="D20" s="283"/>
      <c r="E20" s="283"/>
    </row>
    <row r="21" spans="1:10" x14ac:dyDescent="0.25">
      <c r="A21" s="18" t="s">
        <v>235</v>
      </c>
    </row>
    <row r="22" spans="1:10" x14ac:dyDescent="0.25">
      <c r="A22" s="25" t="s">
        <v>788</v>
      </c>
    </row>
    <row r="23" spans="1:10" x14ac:dyDescent="0.25">
      <c r="A23" s="25" t="s">
        <v>816</v>
      </c>
    </row>
    <row r="24" spans="1:10" x14ac:dyDescent="0.25">
      <c r="A24" s="25" t="s">
        <v>704</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pageSetUpPr fitToPage="1"/>
  </sheetPr>
  <dimension ref="A1:J38"/>
  <sheetViews>
    <sheetView zoomScale="70" workbookViewId="0"/>
  </sheetViews>
  <sheetFormatPr defaultRowHeight="13.2" x14ac:dyDescent="0.25"/>
  <cols>
    <col min="1" max="1" width="45.33203125" bestFit="1" customWidth="1"/>
    <col min="2" max="2" width="15.88671875" customWidth="1"/>
    <col min="3" max="3" width="3.33203125" customWidth="1"/>
  </cols>
  <sheetData>
    <row r="1" spans="1:10" ht="15.6" x14ac:dyDescent="0.3">
      <c r="A1" s="158" t="s">
        <v>718</v>
      </c>
      <c r="B1" s="17"/>
    </row>
    <row r="2" spans="1:10" ht="15.6" x14ac:dyDescent="0.3">
      <c r="A2" s="158" t="s">
        <v>787</v>
      </c>
      <c r="B2" s="17"/>
    </row>
    <row r="3" spans="1:10" ht="5.0999999999999996" customHeight="1" x14ac:dyDescent="0.25">
      <c r="A3" s="16"/>
    </row>
    <row r="4" spans="1:10" x14ac:dyDescent="0.25">
      <c r="A4" t="s">
        <v>111</v>
      </c>
      <c r="B4" s="26">
        <v>1.0360078863380962</v>
      </c>
      <c r="C4" s="125" t="s">
        <v>236</v>
      </c>
    </row>
    <row r="5" spans="1:10" x14ac:dyDescent="0.25">
      <c r="A5" t="s">
        <v>112</v>
      </c>
      <c r="B5" s="26">
        <v>8.3373400462591807</v>
      </c>
      <c r="C5" s="125" t="s">
        <v>238</v>
      </c>
    </row>
    <row r="6" spans="1:10" x14ac:dyDescent="0.25">
      <c r="B6" s="14"/>
    </row>
    <row r="7" spans="1:10" x14ac:dyDescent="0.25">
      <c r="A7" s="13" t="s">
        <v>666</v>
      </c>
      <c r="B7" s="119">
        <f>'Table 3.40-Form Processing'!J4</f>
        <v>0.11441688109803315</v>
      </c>
      <c r="C7" s="12" t="s">
        <v>239</v>
      </c>
      <c r="D7" s="27"/>
      <c r="E7" s="27"/>
      <c r="F7" s="27"/>
      <c r="G7" s="27"/>
      <c r="H7" s="27"/>
      <c r="I7" s="27"/>
      <c r="J7" s="27"/>
    </row>
    <row r="8" spans="1:10" x14ac:dyDescent="0.25">
      <c r="A8" s="12" t="s">
        <v>667</v>
      </c>
      <c r="B8" s="119">
        <f>'Table 3.40-Form Processing'!J6</f>
        <v>4.4168555633016013E-2</v>
      </c>
      <c r="C8" s="12" t="s">
        <v>239</v>
      </c>
    </row>
    <row r="10" spans="1:10" x14ac:dyDescent="0.25">
      <c r="A10" t="s">
        <v>113</v>
      </c>
      <c r="B10" s="29"/>
    </row>
    <row r="11" spans="1:10" x14ac:dyDescent="0.25">
      <c r="A11" s="28" t="s">
        <v>260</v>
      </c>
      <c r="B11" s="118">
        <f>'Table 3.38-Form 3547 Dist'!I25</f>
        <v>0.21979516069073665</v>
      </c>
      <c r="C11" s="12" t="s">
        <v>240</v>
      </c>
    </row>
    <row r="12" spans="1:10" x14ac:dyDescent="0.25">
      <c r="A12" s="164" t="s">
        <v>120</v>
      </c>
      <c r="B12" s="118">
        <f>'Table 3.38-Form 3547 Dist'!I26</f>
        <v>0.69418282281898935</v>
      </c>
      <c r="C12" s="12" t="s">
        <v>240</v>
      </c>
    </row>
    <row r="13" spans="1:10" x14ac:dyDescent="0.25">
      <c r="A13" s="28" t="s">
        <v>259</v>
      </c>
      <c r="B13" s="118">
        <f>'Table 3.38-Form 3547 Dist'!I27</f>
        <v>8.6022016490274092E-2</v>
      </c>
      <c r="C13" s="12" t="s">
        <v>240</v>
      </c>
    </row>
    <row r="15" spans="1:10" x14ac:dyDescent="0.25">
      <c r="A15" s="12" t="s">
        <v>739</v>
      </c>
      <c r="B15" s="6">
        <f>'Table 3.38-Form 3547 Dist'!B28*1000</f>
        <v>58127885.557356402</v>
      </c>
      <c r="C15" s="12" t="s">
        <v>241</v>
      </c>
    </row>
    <row r="16" spans="1:10" x14ac:dyDescent="0.25">
      <c r="A16" s="12" t="s">
        <v>740</v>
      </c>
      <c r="B16" s="10">
        <f>'Table 3.38-Form 3547 Dist'!E28*1000</f>
        <v>4488969.6154620722</v>
      </c>
      <c r="C16" s="12" t="s">
        <v>242</v>
      </c>
    </row>
    <row r="17" spans="1:4" x14ac:dyDescent="0.25">
      <c r="A17" s="13" t="s">
        <v>115</v>
      </c>
      <c r="B17" s="6">
        <f>SUM(B15:B16)</f>
        <v>62616855.172818474</v>
      </c>
      <c r="C17" s="12"/>
    </row>
    <row r="18" spans="1:4" x14ac:dyDescent="0.25">
      <c r="B18" s="6"/>
      <c r="C18" s="12"/>
    </row>
    <row r="19" spans="1:4" x14ac:dyDescent="0.25">
      <c r="A19" s="12" t="s">
        <v>741</v>
      </c>
      <c r="B19" s="492">
        <v>5888643.3187378105</v>
      </c>
      <c r="C19" s="12" t="s">
        <v>241</v>
      </c>
      <c r="D19" s="12"/>
    </row>
    <row r="20" spans="1:4" x14ac:dyDescent="0.25">
      <c r="A20" s="12" t="s">
        <v>742</v>
      </c>
      <c r="B20" s="30">
        <v>4582090.5249695461</v>
      </c>
      <c r="C20" s="12" t="s">
        <v>242</v>
      </c>
    </row>
    <row r="21" spans="1:4" x14ac:dyDescent="0.25">
      <c r="A21" s="12" t="s">
        <v>116</v>
      </c>
      <c r="B21" s="492">
        <f>SUM(B19:B20)</f>
        <v>10470733.843707357</v>
      </c>
      <c r="C21" s="12"/>
    </row>
    <row r="22" spans="1:4" x14ac:dyDescent="0.25">
      <c r="B22" s="492"/>
      <c r="C22" s="12"/>
    </row>
    <row r="23" spans="1:4" x14ac:dyDescent="0.25">
      <c r="A23" t="s">
        <v>261</v>
      </c>
      <c r="B23" s="31">
        <f>SUM(B17,B21)</f>
        <v>73087589.016525835</v>
      </c>
    </row>
    <row r="24" spans="1:4" x14ac:dyDescent="0.25">
      <c r="B24" s="32"/>
    </row>
    <row r="25" spans="1:4" x14ac:dyDescent="0.25">
      <c r="A25" s="12" t="s">
        <v>51</v>
      </c>
      <c r="B25" s="32">
        <f>'Table 3.1-UAA Summary'!L51*1000</f>
        <v>425255640.48100346</v>
      </c>
      <c r="C25" s="12"/>
    </row>
    <row r="26" spans="1:4" x14ac:dyDescent="0.25">
      <c r="A26" s="12" t="s">
        <v>52</v>
      </c>
      <c r="B26" s="32">
        <f>'Table 3.1-UAA Summary'!L50*1000</f>
        <v>286391760.68037462</v>
      </c>
      <c r="C26" s="12"/>
    </row>
    <row r="27" spans="1:4" x14ac:dyDescent="0.25">
      <c r="B27" s="27"/>
    </row>
    <row r="28" spans="1:4" x14ac:dyDescent="0.25">
      <c r="A28" s="12" t="s">
        <v>350</v>
      </c>
      <c r="B28" s="33">
        <v>44.204500000000003</v>
      </c>
      <c r="C28" s="12" t="s">
        <v>243</v>
      </c>
    </row>
    <row r="29" spans="1:4" x14ac:dyDescent="0.25">
      <c r="A29" s="283"/>
      <c r="B29" s="283"/>
    </row>
    <row r="30" spans="1:4" x14ac:dyDescent="0.25">
      <c r="A30" s="151" t="s">
        <v>235</v>
      </c>
    </row>
    <row r="31" spans="1:4" x14ac:dyDescent="0.25">
      <c r="A31" s="125" t="s">
        <v>818</v>
      </c>
    </row>
    <row r="32" spans="1:4" x14ac:dyDescent="0.25">
      <c r="A32" s="125" t="s">
        <v>13</v>
      </c>
    </row>
    <row r="33" spans="1:1" x14ac:dyDescent="0.25">
      <c r="A33" s="12" t="s">
        <v>698</v>
      </c>
    </row>
    <row r="34" spans="1:1" x14ac:dyDescent="0.25">
      <c r="A34" s="12" t="s">
        <v>705</v>
      </c>
    </row>
    <row r="35" spans="1:1" x14ac:dyDescent="0.25">
      <c r="A35" s="25" t="s">
        <v>819</v>
      </c>
    </row>
    <row r="36" spans="1:1" x14ac:dyDescent="0.25">
      <c r="A36" s="25" t="s">
        <v>820</v>
      </c>
    </row>
    <row r="37" spans="1:1" x14ac:dyDescent="0.25">
      <c r="A37" s="25" t="s">
        <v>817</v>
      </c>
    </row>
    <row r="38" spans="1:1" x14ac:dyDescent="0.25">
      <c r="A38" s="12" t="s">
        <v>53</v>
      </c>
    </row>
  </sheetData>
  <phoneticPr fontId="0"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pageSetUpPr fitToPage="1"/>
  </sheetPr>
  <dimension ref="A1:I164"/>
  <sheetViews>
    <sheetView zoomScale="70" workbookViewId="0"/>
  </sheetViews>
  <sheetFormatPr defaultColWidth="9.109375" defaultRowHeight="13.2" x14ac:dyDescent="0.25"/>
  <cols>
    <col min="1" max="1" width="19.6640625" style="18" bestFit="1" customWidth="1"/>
    <col min="2" max="2" width="15.6640625" style="18" customWidth="1"/>
    <col min="3" max="3" width="13.109375" style="18" customWidth="1"/>
    <col min="4" max="4" width="3.6640625" style="18" customWidth="1"/>
    <col min="5" max="5" width="15.6640625" style="18" customWidth="1"/>
    <col min="6" max="6" width="14.88671875" style="18" customWidth="1"/>
    <col min="7" max="7" width="3.6640625" style="18" customWidth="1"/>
    <col min="8" max="8" width="15.6640625" style="18" customWidth="1"/>
    <col min="9" max="9" width="14.88671875" style="18" customWidth="1"/>
    <col min="10" max="16384" width="9.109375" style="18"/>
  </cols>
  <sheetData>
    <row r="1" spans="1:9" ht="15.75" customHeight="1" x14ac:dyDescent="0.3">
      <c r="A1" s="157" t="s">
        <v>723</v>
      </c>
    </row>
    <row r="2" spans="1:9" ht="15.75" customHeight="1" x14ac:dyDescent="0.3">
      <c r="A2" s="158" t="s">
        <v>787</v>
      </c>
    </row>
    <row r="3" spans="1:9" ht="12.75" customHeight="1" x14ac:dyDescent="0.25"/>
    <row r="4" spans="1:9" ht="12.75" customHeight="1" x14ac:dyDescent="0.25">
      <c r="B4" s="564" t="s">
        <v>724</v>
      </c>
      <c r="C4" s="564"/>
      <c r="D4" s="564"/>
      <c r="E4" s="564" t="s">
        <v>724</v>
      </c>
      <c r="F4" s="564"/>
    </row>
    <row r="5" spans="1:9" ht="12.75" customHeight="1" x14ac:dyDescent="0.25">
      <c r="B5" s="565" t="s">
        <v>725</v>
      </c>
      <c r="C5" s="564"/>
      <c r="D5" s="564"/>
      <c r="E5" s="565" t="s">
        <v>726</v>
      </c>
      <c r="F5" s="564"/>
      <c r="H5" s="566" t="s">
        <v>727</v>
      </c>
      <c r="I5" s="564"/>
    </row>
    <row r="6" spans="1:9" ht="12.75" customHeight="1" x14ac:dyDescent="0.25">
      <c r="A6" s="102" t="s">
        <v>728</v>
      </c>
      <c r="B6" s="567" t="s">
        <v>729</v>
      </c>
      <c r="C6" s="227" t="s">
        <v>172</v>
      </c>
      <c r="D6" s="227"/>
      <c r="E6" s="567" t="s">
        <v>730</v>
      </c>
      <c r="F6" s="227" t="s">
        <v>172</v>
      </c>
      <c r="H6" s="568" t="s">
        <v>103</v>
      </c>
      <c r="I6" s="227" t="s">
        <v>172</v>
      </c>
    </row>
    <row r="7" spans="1:9" ht="12.75" customHeight="1" x14ac:dyDescent="0.25">
      <c r="A7" s="28" t="s">
        <v>260</v>
      </c>
      <c r="B7" s="37">
        <v>12714.095642958437</v>
      </c>
      <c r="C7" s="569">
        <f>B7/B$10</f>
        <v>0.24843188574672215</v>
      </c>
      <c r="D7" s="569"/>
      <c r="E7" s="37">
        <v>0</v>
      </c>
      <c r="F7" s="569">
        <f>E7/E$10</f>
        <v>0</v>
      </c>
      <c r="H7" s="324">
        <f>B7+E7</f>
        <v>12714.095642958437</v>
      </c>
      <c r="I7" s="569">
        <f>H7/H$10</f>
        <v>0.23062193372100812</v>
      </c>
    </row>
    <row r="8" spans="1:9" ht="12.75" customHeight="1" x14ac:dyDescent="0.25">
      <c r="A8" s="164" t="s">
        <v>120</v>
      </c>
      <c r="B8" s="37">
        <v>35662.598299352052</v>
      </c>
      <c r="C8" s="569">
        <f>B8/B$10</f>
        <v>0.69684284238043614</v>
      </c>
      <c r="D8" s="569"/>
      <c r="E8" s="37">
        <v>3664.4329151149577</v>
      </c>
      <c r="F8" s="569">
        <f>E8/E$10</f>
        <v>0.92718521337588411</v>
      </c>
      <c r="H8" s="324">
        <f>B8+E8</f>
        <v>39327.03121446701</v>
      </c>
      <c r="I8" s="569">
        <f>H8/H$10</f>
        <v>0.7133559665496122</v>
      </c>
    </row>
    <row r="9" spans="1:9" ht="12.75" customHeight="1" x14ac:dyDescent="0.25">
      <c r="A9" s="28" t="s">
        <v>259</v>
      </c>
      <c r="B9" s="37">
        <v>2800.6966118172322</v>
      </c>
      <c r="C9" s="569">
        <f>B9/B$10</f>
        <v>5.4725271872841534E-2</v>
      </c>
      <c r="D9" s="569"/>
      <c r="E9" s="37">
        <v>287.7795039903325</v>
      </c>
      <c r="F9" s="569">
        <f>E9/E$10</f>
        <v>7.2814786624115863E-2</v>
      </c>
      <c r="H9" s="324">
        <f>B9+E9</f>
        <v>3088.4761158075648</v>
      </c>
      <c r="I9" s="569">
        <f>H9/H$10</f>
        <v>5.6022099729379653E-2</v>
      </c>
    </row>
    <row r="10" spans="1:9" ht="12.75" customHeight="1" x14ac:dyDescent="0.25">
      <c r="A10" s="5" t="s">
        <v>102</v>
      </c>
      <c r="B10" s="37">
        <f>SUM(B7:B9)</f>
        <v>51177.390554127727</v>
      </c>
      <c r="C10" s="570">
        <f>SUM(C7:C9)</f>
        <v>0.99999999999999978</v>
      </c>
      <c r="D10" s="570"/>
      <c r="E10" s="37">
        <f>SUM(E7:E9)</f>
        <v>3952.2124191052903</v>
      </c>
      <c r="F10" s="570">
        <f>SUM(F7:F9)</f>
        <v>1</v>
      </c>
      <c r="H10" s="324">
        <f>SUM(H7:H9)</f>
        <v>55129.602973233013</v>
      </c>
      <c r="I10" s="570">
        <f>SUM(I7:I9)</f>
        <v>1</v>
      </c>
    </row>
    <row r="11" spans="1:9" ht="12.75" customHeight="1" x14ac:dyDescent="0.25"/>
    <row r="12" spans="1:9" ht="12.75" customHeight="1" x14ac:dyDescent="0.25"/>
    <row r="13" spans="1:9" ht="12.75" customHeight="1" x14ac:dyDescent="0.25">
      <c r="B13" s="564" t="s">
        <v>731</v>
      </c>
      <c r="C13" s="564"/>
      <c r="E13" s="564" t="s">
        <v>731</v>
      </c>
      <c r="F13" s="564"/>
    </row>
    <row r="14" spans="1:9" ht="12.75" customHeight="1" x14ac:dyDescent="0.25">
      <c r="B14" s="565" t="s">
        <v>732</v>
      </c>
      <c r="C14" s="564"/>
      <c r="E14" s="565" t="s">
        <v>733</v>
      </c>
      <c r="F14" s="564"/>
      <c r="H14" s="565" t="s">
        <v>734</v>
      </c>
      <c r="I14" s="564"/>
    </row>
    <row r="15" spans="1:9" ht="12.75" customHeight="1" x14ac:dyDescent="0.25">
      <c r="A15" s="102" t="s">
        <v>728</v>
      </c>
      <c r="B15" s="567" t="s">
        <v>729</v>
      </c>
      <c r="C15" s="227" t="s">
        <v>172</v>
      </c>
      <c r="E15" s="567" t="s">
        <v>730</v>
      </c>
      <c r="F15" s="227" t="s">
        <v>172</v>
      </c>
      <c r="H15" s="568" t="s">
        <v>103</v>
      </c>
      <c r="I15" s="227" t="s">
        <v>172</v>
      </c>
    </row>
    <row r="16" spans="1:9" ht="12.75" customHeight="1" x14ac:dyDescent="0.25">
      <c r="A16" s="28" t="s">
        <v>260</v>
      </c>
      <c r="B16" s="37">
        <v>1048.7861016997831</v>
      </c>
      <c r="C16" s="569">
        <f>B16/B$19</f>
        <v>0.15089372788737998</v>
      </c>
      <c r="E16" s="37">
        <v>0</v>
      </c>
      <c r="F16" s="569">
        <f>E16/E$19</f>
        <v>0</v>
      </c>
      <c r="H16" s="324">
        <f>B16+E16</f>
        <v>1048.7861016997831</v>
      </c>
      <c r="I16" s="569">
        <f>H16/H$19</f>
        <v>0.14007623541221831</v>
      </c>
    </row>
    <row r="17" spans="1:9" ht="12.75" customHeight="1" x14ac:dyDescent="0.25">
      <c r="A17" s="164" t="s">
        <v>120</v>
      </c>
      <c r="B17" s="37">
        <v>3795.3308047990386</v>
      </c>
      <c r="C17" s="569">
        <f>B17/B$19</f>
        <v>0.54605187156253043</v>
      </c>
      <c r="E17" s="37">
        <v>345.1832606489134</v>
      </c>
      <c r="F17" s="569">
        <f>E17/E$19</f>
        <v>0.64309014018224753</v>
      </c>
      <c r="H17" s="324">
        <f>B17+E17</f>
        <v>4140.5140654479519</v>
      </c>
      <c r="I17" s="569">
        <f>H17/H$19</f>
        <v>0.55300849431480259</v>
      </c>
    </row>
    <row r="18" spans="1:9" ht="12.75" customHeight="1" x14ac:dyDescent="0.25">
      <c r="A18" s="28" t="s">
        <v>259</v>
      </c>
      <c r="B18" s="37">
        <v>2106.3780967298617</v>
      </c>
      <c r="C18" s="569">
        <f>B18/B$19</f>
        <v>0.30305440055008959</v>
      </c>
      <c r="E18" s="37">
        <v>191.57393570786905</v>
      </c>
      <c r="F18" s="569">
        <f>E18/E$19</f>
        <v>0.35690985981775242</v>
      </c>
      <c r="H18" s="324">
        <f>B18+E18</f>
        <v>2297.9520324377308</v>
      </c>
      <c r="I18" s="569">
        <f>H18/H$19</f>
        <v>0.30691527027297916</v>
      </c>
    </row>
    <row r="19" spans="1:9" ht="12.75" customHeight="1" x14ac:dyDescent="0.25">
      <c r="A19" s="5" t="s">
        <v>102</v>
      </c>
      <c r="B19" s="37">
        <f>SUM(B16:B18)</f>
        <v>6950.4950032286833</v>
      </c>
      <c r="C19" s="570">
        <f>SUM(C16:C18)</f>
        <v>1</v>
      </c>
      <c r="E19" s="37">
        <f>SUM(E16:E18)</f>
        <v>536.75719635678252</v>
      </c>
      <c r="F19" s="570">
        <f>SUM(F16:F18)</f>
        <v>1</v>
      </c>
      <c r="H19" s="324">
        <f>SUM(H16:H18)</f>
        <v>7487.2521995854659</v>
      </c>
      <c r="I19" s="570">
        <f>SUM(I16:I18)</f>
        <v>1</v>
      </c>
    </row>
    <row r="20" spans="1:9" ht="12.75" customHeight="1" x14ac:dyDescent="0.25">
      <c r="A20" s="5"/>
      <c r="B20" s="37"/>
      <c r="C20" s="570"/>
      <c r="E20" s="37"/>
      <c r="F20" s="570"/>
      <c r="H20" s="324"/>
      <c r="I20" s="570"/>
    </row>
    <row r="21" spans="1:9" ht="12.75" customHeight="1" x14ac:dyDescent="0.25">
      <c r="A21" s="5"/>
      <c r="B21" s="37"/>
      <c r="C21" s="570"/>
      <c r="E21" s="37"/>
      <c r="F21" s="570"/>
      <c r="H21" s="324"/>
      <c r="I21" s="570"/>
    </row>
    <row r="22" spans="1:9" ht="12.75" customHeight="1" x14ac:dyDescent="0.25">
      <c r="B22" s="564" t="s">
        <v>735</v>
      </c>
      <c r="C22" s="564"/>
      <c r="E22" s="564" t="s">
        <v>735</v>
      </c>
      <c r="F22" s="564"/>
    </row>
    <row r="23" spans="1:9" ht="12.75" customHeight="1" x14ac:dyDescent="0.25">
      <c r="B23" s="565" t="s">
        <v>732</v>
      </c>
      <c r="C23" s="564"/>
      <c r="E23" s="565" t="s">
        <v>733</v>
      </c>
      <c r="F23" s="564"/>
      <c r="H23" s="565" t="s">
        <v>736</v>
      </c>
      <c r="I23" s="564"/>
    </row>
    <row r="24" spans="1:9" ht="12.75" customHeight="1" x14ac:dyDescent="0.25">
      <c r="A24" s="102" t="s">
        <v>728</v>
      </c>
      <c r="B24" s="567" t="s">
        <v>729</v>
      </c>
      <c r="C24" s="227" t="s">
        <v>172</v>
      </c>
      <c r="E24" s="567" t="s">
        <v>730</v>
      </c>
      <c r="F24" s="227" t="s">
        <v>172</v>
      </c>
      <c r="H24" s="568" t="s">
        <v>103</v>
      </c>
      <c r="I24" s="227" t="s">
        <v>172</v>
      </c>
    </row>
    <row r="25" spans="1:9" ht="12.75" customHeight="1" x14ac:dyDescent="0.25">
      <c r="A25" s="28" t="s">
        <v>260</v>
      </c>
      <c r="B25" s="37">
        <f>SUM(B7,B16)</f>
        <v>13762.88174465822</v>
      </c>
      <c r="C25" s="569">
        <f>B25/B$28</f>
        <v>0.23676900703842052</v>
      </c>
      <c r="E25" s="37">
        <f>SUM(E7,E16)</f>
        <v>0</v>
      </c>
      <c r="F25" s="569">
        <f>E25/E$28</f>
        <v>0</v>
      </c>
      <c r="H25" s="324">
        <f>B25+E25</f>
        <v>13762.88174465822</v>
      </c>
      <c r="I25" s="569">
        <f>H25/H$28</f>
        <v>0.21979516069073665</v>
      </c>
    </row>
    <row r="26" spans="1:9" ht="12.75" customHeight="1" x14ac:dyDescent="0.25">
      <c r="A26" s="164" t="s">
        <v>120</v>
      </c>
      <c r="B26" s="37">
        <f>SUM(B8,B17)</f>
        <v>39457.929104151088</v>
      </c>
      <c r="C26" s="569">
        <f>B26/B$28</f>
        <v>0.6788123931536586</v>
      </c>
      <c r="E26" s="37">
        <f>SUM(E8,E17)</f>
        <v>4009.6161757638711</v>
      </c>
      <c r="F26" s="569">
        <f>E26/E$28</f>
        <v>0.89321526302002852</v>
      </c>
      <c r="H26" s="324">
        <f>B26+E26</f>
        <v>43467.545279914957</v>
      </c>
      <c r="I26" s="569">
        <f>H26/H$28</f>
        <v>0.69418282281898935</v>
      </c>
    </row>
    <row r="27" spans="1:9" ht="12.75" customHeight="1" x14ac:dyDescent="0.25">
      <c r="A27" s="28" t="s">
        <v>259</v>
      </c>
      <c r="B27" s="37">
        <f>SUM(B9,B18)</f>
        <v>4907.0747085470939</v>
      </c>
      <c r="C27" s="569">
        <f>B27/B$28</f>
        <v>8.441859980792088E-2</v>
      </c>
      <c r="E27" s="37">
        <f>SUM(E9,E18)</f>
        <v>479.35343969820156</v>
      </c>
      <c r="F27" s="569">
        <f>E27/E$28</f>
        <v>0.10678473697997158</v>
      </c>
      <c r="H27" s="324">
        <f>B27+E27</f>
        <v>5386.4281482452952</v>
      </c>
      <c r="I27" s="569">
        <f>H27/H$28</f>
        <v>8.6022016490274092E-2</v>
      </c>
    </row>
    <row r="28" spans="1:9" ht="12.75" customHeight="1" x14ac:dyDescent="0.25">
      <c r="A28" s="5" t="s">
        <v>102</v>
      </c>
      <c r="B28" s="37">
        <f>SUM(B25:B27)</f>
        <v>58127.8855573564</v>
      </c>
      <c r="C28" s="570">
        <f>SUM(C25:C27)</f>
        <v>1</v>
      </c>
      <c r="E28" s="37">
        <f>SUM(E25:E27)</f>
        <v>4488.9696154620724</v>
      </c>
      <c r="F28" s="570">
        <f>SUM(F25:F27)</f>
        <v>1</v>
      </c>
      <c r="H28" s="324">
        <f>SUM(H25:H27)</f>
        <v>62616.855172818468</v>
      </c>
      <c r="I28" s="570">
        <f>SUM(I25:I27)</f>
        <v>1.0000000000000002</v>
      </c>
    </row>
    <row r="29" spans="1:9" ht="12.75" customHeight="1" x14ac:dyDescent="0.25">
      <c r="A29" s="141"/>
      <c r="B29" s="282"/>
    </row>
    <row r="30" spans="1:9" ht="12.75" customHeight="1" x14ac:dyDescent="0.25">
      <c r="A30" s="4" t="s">
        <v>235</v>
      </c>
      <c r="B30" s="37"/>
    </row>
    <row r="31" spans="1:9" ht="12.75" customHeight="1" x14ac:dyDescent="0.25">
      <c r="A31" s="25" t="s">
        <v>802</v>
      </c>
      <c r="B31" s="37"/>
    </row>
    <row r="32" spans="1:9" ht="12.75" customHeight="1" x14ac:dyDescent="0.25">
      <c r="A32" s="25" t="s">
        <v>821</v>
      </c>
    </row>
    <row r="33" spans="1:1" ht="12.75" customHeight="1" x14ac:dyDescent="0.25">
      <c r="A33" s="327" t="s">
        <v>737</v>
      </c>
    </row>
    <row r="34" spans="1:1" ht="12.75" customHeight="1" x14ac:dyDescent="0.25">
      <c r="A34" s="481" t="s">
        <v>738</v>
      </c>
    </row>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Q52"/>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7" s="13" customFormat="1" ht="15.6" x14ac:dyDescent="0.3">
      <c r="A1" s="157" t="s">
        <v>523</v>
      </c>
      <c r="B1" s="19"/>
      <c r="C1" s="19"/>
      <c r="D1" s="19"/>
      <c r="E1" s="19"/>
      <c r="F1" s="19"/>
      <c r="G1" s="19"/>
      <c r="H1" s="19"/>
      <c r="I1" s="19"/>
      <c r="J1" s="19"/>
    </row>
    <row r="2" spans="1:17" s="13" customFormat="1" ht="15.6" x14ac:dyDescent="0.3">
      <c r="A2" s="158" t="s">
        <v>787</v>
      </c>
      <c r="B2" s="19"/>
      <c r="C2" s="19"/>
      <c r="D2" s="19"/>
      <c r="E2" s="19"/>
      <c r="F2" s="19"/>
      <c r="G2" s="19"/>
      <c r="H2" s="19"/>
      <c r="I2" s="19"/>
      <c r="J2" s="19"/>
    </row>
    <row r="3" spans="1:17" ht="26.4" x14ac:dyDescent="0.25">
      <c r="B3" s="168" t="s">
        <v>109</v>
      </c>
      <c r="C3" s="168"/>
      <c r="D3" s="169" t="s">
        <v>104</v>
      </c>
      <c r="E3" s="169"/>
      <c r="F3" s="168" t="s">
        <v>110</v>
      </c>
      <c r="G3" s="168"/>
      <c r="H3" s="170" t="s">
        <v>97</v>
      </c>
      <c r="I3" s="170"/>
      <c r="J3" s="171" t="s">
        <v>105</v>
      </c>
    </row>
    <row r="4" spans="1:17" x14ac:dyDescent="0.25">
      <c r="A4" s="333" t="s">
        <v>577</v>
      </c>
    </row>
    <row r="5" spans="1:17" x14ac:dyDescent="0.25">
      <c r="A5" s="353" t="s">
        <v>481</v>
      </c>
      <c r="B5" s="32">
        <f>SUM('Table 3.24-CIOSS Detail'!E4,'Table 3.24-CIOSS Detail'!E8)</f>
        <v>664608.18684000021</v>
      </c>
      <c r="C5" s="241" t="s">
        <v>240</v>
      </c>
      <c r="D5" s="488">
        <f>F5/B5</f>
        <v>6.1698581461821923E-2</v>
      </c>
      <c r="E5" s="27"/>
      <c r="F5" s="489">
        <f>SUM('Table 3.24-CIOSS Detail'!K4,'Table 3.24-CIOSS Detail'!K8)</f>
        <v>41005.382355941518</v>
      </c>
      <c r="G5" s="241" t="s">
        <v>240</v>
      </c>
      <c r="H5" s="358">
        <f>B5/$B$29</f>
        <v>0.94</v>
      </c>
      <c r="J5" s="551">
        <f>D5*H5</f>
        <v>5.7996666574112607E-2</v>
      </c>
      <c r="M5" s="27"/>
      <c r="N5" s="27"/>
      <c r="O5" s="27"/>
      <c r="P5" s="27"/>
      <c r="Q5" s="27"/>
    </row>
    <row r="6" spans="1:17" x14ac:dyDescent="0.25">
      <c r="A6" s="353" t="s">
        <v>95</v>
      </c>
      <c r="B6" s="32">
        <f>SUM('Table 3.28-REC Volume'!G4,'Table 3.28-REC Volume'!G8)</f>
        <v>253780.12365727875</v>
      </c>
      <c r="C6" s="12" t="s">
        <v>241</v>
      </c>
      <c r="D6" s="488">
        <f>F6/B6</f>
        <v>0</v>
      </c>
      <c r="E6" s="27"/>
      <c r="F6" s="489">
        <v>0</v>
      </c>
      <c r="H6" s="358">
        <f>B6/$B$29</f>
        <v>0.35893827515439869</v>
      </c>
      <c r="J6" s="551">
        <f>D6*H6</f>
        <v>0</v>
      </c>
    </row>
    <row r="7" spans="1:17" x14ac:dyDescent="0.25">
      <c r="A7" s="239" t="s">
        <v>499</v>
      </c>
      <c r="B7" s="32">
        <f>SUM('Table 3.28-REC Volume'!H4)</f>
        <v>328788.29399131244</v>
      </c>
      <c r="C7" s="12" t="s">
        <v>241</v>
      </c>
      <c r="D7" s="488">
        <f>F7/B7</f>
        <v>9.3196293506615513E-2</v>
      </c>
      <c r="E7" s="27"/>
      <c r="F7" s="489">
        <f>'Table 3.26-REC Detail NonACS'!K4</f>
        <v>30641.850348353746</v>
      </c>
      <c r="G7" s="12" t="s">
        <v>242</v>
      </c>
      <c r="H7" s="358">
        <f>B7/$B$29</f>
        <v>0.46502736871376815</v>
      </c>
      <c r="J7" s="551">
        <f>D7*H7</f>
        <v>4.3338827143257451E-2</v>
      </c>
    </row>
    <row r="8" spans="1:17" x14ac:dyDescent="0.25">
      <c r="A8" s="239" t="s">
        <v>676</v>
      </c>
      <c r="B8" s="32">
        <f>SUM('Table 3.28-REC Volume'!H8)</f>
        <v>51881.891494605661</v>
      </c>
      <c r="C8" s="12" t="s">
        <v>241</v>
      </c>
      <c r="D8" s="488">
        <f>F8/B8</f>
        <v>4.659814675330775E-2</v>
      </c>
      <c r="E8" s="27"/>
      <c r="F8" s="489">
        <f>'Table 3.26-REC Detail NonACS'!K8</f>
        <v>2417.5999937048236</v>
      </c>
      <c r="G8" s="12" t="s">
        <v>242</v>
      </c>
      <c r="H8" s="358">
        <f>B8/$B$29</f>
        <v>7.3380044017829882E-2</v>
      </c>
      <c r="J8" s="551">
        <f>D8*H8</f>
        <v>3.4193740599070192E-3</v>
      </c>
    </row>
    <row r="9" spans="1:17" x14ac:dyDescent="0.25">
      <c r="A9" s="239" t="s">
        <v>489</v>
      </c>
      <c r="B9" s="32">
        <v>30157.877696803393</v>
      </c>
      <c r="C9" s="241" t="s">
        <v>243</v>
      </c>
      <c r="D9" s="488">
        <f>'Table 3.21-CFS CIOSS Rejs'!I9</f>
        <v>0.27564836282572269</v>
      </c>
      <c r="E9" s="241" t="s">
        <v>244</v>
      </c>
      <c r="F9" s="489">
        <f>B9*D9</f>
        <v>8312.9696134222322</v>
      </c>
      <c r="H9" s="358">
        <f>B9/$B$29</f>
        <v>4.26543121140033E-2</v>
      </c>
      <c r="J9" s="551">
        <f>D9*H9</f>
        <v>1.1757591301682401E-2</v>
      </c>
      <c r="K9" s="6"/>
    </row>
    <row r="10" spans="1:17" x14ac:dyDescent="0.25">
      <c r="A10" s="82" t="s">
        <v>102</v>
      </c>
      <c r="B10" s="32">
        <f>B5</f>
        <v>664608.18684000021</v>
      </c>
      <c r="C10" s="27"/>
      <c r="D10" s="488">
        <f>F10/B10</f>
        <v>0.12394942455208455</v>
      </c>
      <c r="E10" s="27"/>
      <c r="F10" s="489">
        <f>SUM(F5:F9)</f>
        <v>82377.802311422318</v>
      </c>
      <c r="H10" s="142"/>
      <c r="J10" s="22">
        <f>SUM(J5:J9)</f>
        <v>0.11651245907895946</v>
      </c>
    </row>
    <row r="11" spans="1:17" ht="5.0999999999999996" customHeight="1" x14ac:dyDescent="0.25">
      <c r="A11" s="82"/>
      <c r="B11" s="32"/>
      <c r="C11" s="27"/>
      <c r="D11" s="27"/>
      <c r="E11" s="27"/>
      <c r="F11" s="489"/>
      <c r="H11" s="142"/>
    </row>
    <row r="12" spans="1:17" x14ac:dyDescent="0.25">
      <c r="A12" s="15" t="s">
        <v>578</v>
      </c>
      <c r="B12" s="27"/>
      <c r="C12" s="27"/>
      <c r="D12" s="27"/>
      <c r="E12" s="27"/>
      <c r="F12" s="489"/>
    </row>
    <row r="13" spans="1:17" x14ac:dyDescent="0.25">
      <c r="A13" s="353" t="s">
        <v>307</v>
      </c>
      <c r="B13" s="32">
        <f>'Table 3.16-Route UAA PARS'!D106</f>
        <v>42421.799160000039</v>
      </c>
      <c r="C13" s="490" t="s">
        <v>582</v>
      </c>
      <c r="D13" s="488">
        <f t="shared" ref="D13:D18" si="0">F13/B13</f>
        <v>6.98030990433509E-2</v>
      </c>
      <c r="E13" s="490"/>
      <c r="F13" s="489">
        <f>'Table 3.16-Route UAA PARS'!J106</f>
        <v>2961.1730483626225</v>
      </c>
      <c r="G13" s="490" t="s">
        <v>582</v>
      </c>
      <c r="H13" s="358">
        <f t="shared" ref="H13:H19" si="1">B13/$B$29</f>
        <v>6.0000000000000032E-2</v>
      </c>
      <c r="J13" s="551">
        <f t="shared" ref="J13:J19" si="2">D13*H13</f>
        <v>4.1881859426010559E-3</v>
      </c>
    </row>
    <row r="14" spans="1:17" x14ac:dyDescent="0.25">
      <c r="A14" s="353" t="s">
        <v>495</v>
      </c>
      <c r="B14" s="32">
        <f>'Table 3.18-Nixie UAA'!D6</f>
        <v>42421.799160000039</v>
      </c>
      <c r="C14" s="490" t="s">
        <v>586</v>
      </c>
      <c r="D14" s="488">
        <f t="shared" si="0"/>
        <v>6.8571260344913497E-3</v>
      </c>
      <c r="E14" s="490"/>
      <c r="F14" s="489">
        <f>'Table 3.18-Nixie UAA'!I6</f>
        <v>290.89162344999954</v>
      </c>
      <c r="G14" s="490" t="s">
        <v>586</v>
      </c>
      <c r="H14" s="358">
        <f t="shared" si="1"/>
        <v>6.0000000000000032E-2</v>
      </c>
      <c r="J14" s="551">
        <f t="shared" si="2"/>
        <v>4.114275620694812E-4</v>
      </c>
    </row>
    <row r="15" spans="1:17" x14ac:dyDescent="0.25">
      <c r="A15" s="353" t="s">
        <v>481</v>
      </c>
      <c r="B15" s="32">
        <f>SUM('Table 3.24-CIOSS Detail'!E19,'Table 3.24-CIOSS Detail'!E23)</f>
        <v>42421.799160000053</v>
      </c>
      <c r="C15" s="490" t="s">
        <v>240</v>
      </c>
      <c r="D15" s="488">
        <f t="shared" si="0"/>
        <v>4.64563835430232E-2</v>
      </c>
      <c r="E15" s="490"/>
      <c r="F15" s="489">
        <f>SUM('Table 3.24-CIOSS Detail'!K19,'Table 3.24-CIOSS Detail'!K23)</f>
        <v>1970.7633723620618</v>
      </c>
      <c r="G15" s="490" t="s">
        <v>240</v>
      </c>
      <c r="H15" s="358">
        <f t="shared" si="1"/>
        <v>6.0000000000000053E-2</v>
      </c>
      <c r="J15" s="551">
        <f t="shared" si="2"/>
        <v>2.7873830125813943E-3</v>
      </c>
    </row>
    <row r="16" spans="1:17" x14ac:dyDescent="0.25">
      <c r="A16" s="353" t="s">
        <v>95</v>
      </c>
      <c r="B16" s="32">
        <f>SUM('Table 3.28-REC Volume'!G19,'Table 3.28-REC Volume'!G23)</f>
        <v>9314.2704959320472</v>
      </c>
      <c r="C16" s="12" t="s">
        <v>241</v>
      </c>
      <c r="D16" s="488">
        <f t="shared" si="0"/>
        <v>0</v>
      </c>
      <c r="E16" s="27"/>
      <c r="F16" s="489">
        <v>0</v>
      </c>
      <c r="H16" s="358">
        <f t="shared" si="1"/>
        <v>1.3173798396624218E-2</v>
      </c>
      <c r="J16" s="551">
        <f t="shared" si="2"/>
        <v>0</v>
      </c>
    </row>
    <row r="17" spans="1:11" x14ac:dyDescent="0.25">
      <c r="A17" s="239" t="s">
        <v>499</v>
      </c>
      <c r="B17" s="32">
        <f>SUM('Table 3.28-REC Volume'!H19)</f>
        <v>26932.6581248203</v>
      </c>
      <c r="C17" s="12" t="s">
        <v>241</v>
      </c>
      <c r="D17" s="488">
        <f t="shared" si="0"/>
        <v>9.3196293506615499E-2</v>
      </c>
      <c r="E17" s="490"/>
      <c r="F17" s="489">
        <f>'Table 3.26-REC Detail NonACS'!K19</f>
        <v>2510.0239115140853</v>
      </c>
      <c r="G17" s="12" t="s">
        <v>242</v>
      </c>
      <c r="H17" s="358">
        <f t="shared" si="1"/>
        <v>3.8092667437191682E-2</v>
      </c>
      <c r="J17" s="551">
        <f t="shared" si="2"/>
        <v>3.550095414926411E-3</v>
      </c>
    </row>
    <row r="18" spans="1:11" ht="12.75" customHeight="1" x14ac:dyDescent="0.25">
      <c r="A18" s="239" t="s">
        <v>676</v>
      </c>
      <c r="B18" s="32">
        <f>SUM('Table 3.28-REC Volume'!H23)</f>
        <v>4249.8996224304665</v>
      </c>
      <c r="C18" s="12" t="s">
        <v>241</v>
      </c>
      <c r="D18" s="488">
        <f t="shared" si="0"/>
        <v>4.659814675330775E-2</v>
      </c>
      <c r="E18" s="490"/>
      <c r="F18" s="489">
        <f>'Table 3.26-REC Detail NonACS'!K23</f>
        <v>198.03744629284208</v>
      </c>
      <c r="G18" s="12" t="s">
        <v>242</v>
      </c>
      <c r="H18" s="358">
        <f t="shared" si="1"/>
        <v>6.0109184993328768E-3</v>
      </c>
      <c r="J18" s="551">
        <f t="shared" si="2"/>
        <v>2.8009766235408579E-4</v>
      </c>
    </row>
    <row r="19" spans="1:11" x14ac:dyDescent="0.25">
      <c r="A19" s="239" t="s">
        <v>489</v>
      </c>
      <c r="B19" s="32">
        <f>'Table 3.21-CFS CIOSS Rejs'!B9-B9</f>
        <v>1924.9709168172376</v>
      </c>
      <c r="C19" s="490" t="s">
        <v>587</v>
      </c>
      <c r="D19" s="488">
        <f>'Table 3.21-CFS CIOSS Rejs'!I9</f>
        <v>0.27564836282572269</v>
      </c>
      <c r="E19" s="241" t="s">
        <v>244</v>
      </c>
      <c r="F19" s="489">
        <f>B19*D19</f>
        <v>530.61508170780201</v>
      </c>
      <c r="H19" s="358">
        <f t="shared" si="1"/>
        <v>2.7226156668512741E-3</v>
      </c>
      <c r="J19" s="551">
        <f t="shared" si="2"/>
        <v>7.50484551171217E-4</v>
      </c>
    </row>
    <row r="20" spans="1:11" ht="12.75" customHeight="1" x14ac:dyDescent="0.25">
      <c r="A20" s="100" t="s">
        <v>102</v>
      </c>
      <c r="B20" s="492">
        <f>B13</f>
        <v>42421.799160000039</v>
      </c>
      <c r="C20" s="151"/>
      <c r="D20" s="488">
        <f>F20/B20</f>
        <v>0.19946123576172733</v>
      </c>
      <c r="E20" s="151"/>
      <c r="F20" s="489">
        <f>SUM(F13:F19)</f>
        <v>8461.504483689414</v>
      </c>
      <c r="G20" s="18"/>
      <c r="H20" s="142"/>
      <c r="I20" s="18"/>
      <c r="J20" s="552">
        <f>SUM(J13:J19)</f>
        <v>1.1967674145703646E-2</v>
      </c>
    </row>
    <row r="21" spans="1:11" ht="5.0999999999999996" customHeight="1" x14ac:dyDescent="0.25">
      <c r="A21" s="100"/>
      <c r="B21" s="324"/>
      <c r="C21" s="18"/>
      <c r="D21" s="18"/>
      <c r="E21" s="18"/>
      <c r="F21" s="489"/>
      <c r="G21" s="18"/>
      <c r="H21" s="142"/>
      <c r="I21" s="18"/>
      <c r="J21" s="18"/>
    </row>
    <row r="22" spans="1:11" ht="12.75" customHeight="1" x14ac:dyDescent="0.25">
      <c r="A22" s="15" t="s">
        <v>579</v>
      </c>
      <c r="B22" s="324"/>
      <c r="C22" s="18"/>
      <c r="D22" s="18"/>
      <c r="E22" s="18"/>
      <c r="F22" s="489"/>
      <c r="G22" s="18"/>
      <c r="H22" s="142"/>
      <c r="I22" s="18"/>
      <c r="J22" s="18"/>
    </row>
    <row r="23" spans="1:11" ht="12.75" customHeight="1" x14ac:dyDescent="0.25">
      <c r="A23" s="353" t="s">
        <v>320</v>
      </c>
      <c r="B23" s="6">
        <f>SUM(B10,B20)</f>
        <v>707029.98600000027</v>
      </c>
      <c r="D23" s="83">
        <f>'Table 3.30-UAA MP Cost'!D8</f>
        <v>0.1146191237175123</v>
      </c>
      <c r="E23" s="12" t="s">
        <v>591</v>
      </c>
      <c r="F23" s="489">
        <f>B23*D23</f>
        <v>81039.157437325019</v>
      </c>
      <c r="G23" s="18"/>
      <c r="H23" s="358">
        <f>B23/$B$29</f>
        <v>1</v>
      </c>
      <c r="J23" s="551">
        <f>D23*H23</f>
        <v>0.1146191237175123</v>
      </c>
    </row>
    <row r="24" spans="1:11" x14ac:dyDescent="0.25">
      <c r="A24" s="353" t="s">
        <v>99</v>
      </c>
      <c r="B24" s="6">
        <f>'Table 3.35-PD Vols'!B6</f>
        <v>0</v>
      </c>
      <c r="C24" s="12" t="s">
        <v>590</v>
      </c>
      <c r="D24" s="83">
        <f>'Table 3.32-Accounting Post Due'!I7</f>
        <v>2.8560679544268801</v>
      </c>
      <c r="E24" s="12" t="s">
        <v>592</v>
      </c>
      <c r="F24" s="489">
        <f>B24*D24</f>
        <v>0</v>
      </c>
      <c r="G24" s="18"/>
      <c r="H24" s="358">
        <f>B24/$B$29</f>
        <v>0</v>
      </c>
      <c r="J24" s="551">
        <f>D24*H24</f>
        <v>0</v>
      </c>
    </row>
    <row r="25" spans="1:11" x14ac:dyDescent="0.25">
      <c r="A25" s="353" t="s">
        <v>100</v>
      </c>
      <c r="B25" s="6">
        <f>'Table 3.35-PD Vols'!B7</f>
        <v>0</v>
      </c>
      <c r="C25" s="12" t="s">
        <v>590</v>
      </c>
      <c r="D25" s="83">
        <f>'Table 3.33-Delivery Post Due'!I11</f>
        <v>0.86611479302919436</v>
      </c>
      <c r="E25" s="12" t="s">
        <v>593</v>
      </c>
      <c r="F25" s="489">
        <f>B25*D25</f>
        <v>0</v>
      </c>
      <c r="G25" s="18"/>
      <c r="H25" s="358">
        <f>B25/$B$29</f>
        <v>0</v>
      </c>
      <c r="J25" s="551">
        <f>D25*H25</f>
        <v>0</v>
      </c>
    </row>
    <row r="26" spans="1:11" x14ac:dyDescent="0.25">
      <c r="A26" s="497" t="s">
        <v>210</v>
      </c>
      <c r="B26" s="6">
        <f>'Table 3.35-PD Vols'!B8</f>
        <v>0</v>
      </c>
      <c r="C26" s="12" t="s">
        <v>590</v>
      </c>
      <c r="D26" s="83">
        <f>'Table 3.34-Window Post Due'!I7</f>
        <v>0.45498126298827479</v>
      </c>
      <c r="E26" s="12" t="s">
        <v>594</v>
      </c>
      <c r="F26" s="489">
        <f>B26*D26</f>
        <v>0</v>
      </c>
      <c r="G26" s="18"/>
      <c r="H26" s="358">
        <f>B26/$B$29</f>
        <v>0</v>
      </c>
      <c r="J26" s="551">
        <f>D26*H26</f>
        <v>0</v>
      </c>
    </row>
    <row r="27" spans="1:11" x14ac:dyDescent="0.25">
      <c r="A27" s="100" t="s">
        <v>102</v>
      </c>
      <c r="B27" s="324">
        <f>B23</f>
        <v>707029.98600000027</v>
      </c>
      <c r="C27" s="18"/>
      <c r="D27" s="83">
        <f>F27/B27</f>
        <v>0.1146191237175123</v>
      </c>
      <c r="E27" s="18"/>
      <c r="F27" s="489">
        <f>SUM(F23:F26)</f>
        <v>81039.157437325019</v>
      </c>
      <c r="G27" s="18"/>
      <c r="H27" s="142"/>
      <c r="I27" s="18"/>
      <c r="J27" s="552">
        <f>SUM(J23:J26)</f>
        <v>0.1146191237175123</v>
      </c>
    </row>
    <row r="28" spans="1:11" ht="5.0999999999999996" customHeight="1" x14ac:dyDescent="0.25">
      <c r="A28" s="91"/>
      <c r="B28" s="324"/>
      <c r="C28" s="18"/>
      <c r="D28" s="83"/>
      <c r="E28" s="18"/>
      <c r="F28" s="489"/>
      <c r="G28" s="18"/>
      <c r="H28" s="142"/>
      <c r="I28" s="18"/>
      <c r="J28" s="18"/>
    </row>
    <row r="29" spans="1:11" x14ac:dyDescent="0.25">
      <c r="A29" s="91" t="s">
        <v>504</v>
      </c>
      <c r="B29" s="393">
        <f>SUM(B10,B20)</f>
        <v>707029.98600000027</v>
      </c>
      <c r="C29" s="18"/>
      <c r="D29" s="83"/>
      <c r="E29" s="18"/>
      <c r="F29" s="508">
        <f>SUM(F10,F20,F27)</f>
        <v>171878.46423243673</v>
      </c>
      <c r="G29" s="18"/>
      <c r="H29" s="142"/>
      <c r="I29" s="18"/>
      <c r="J29" s="553">
        <f>SUM(J10,J20,J27)</f>
        <v>0.24309925694217543</v>
      </c>
    </row>
    <row r="30" spans="1:11" hidden="1" x14ac:dyDescent="0.25">
      <c r="A30" s="91"/>
      <c r="B30" s="324"/>
      <c r="C30" s="18"/>
      <c r="D30" s="83"/>
      <c r="E30" s="18"/>
      <c r="F30" s="175"/>
      <c r="G30" s="18"/>
      <c r="H30" s="142"/>
      <c r="I30" s="18"/>
      <c r="J30" s="18"/>
    </row>
    <row r="31" spans="1:11" hidden="1" x14ac:dyDescent="0.25">
      <c r="A31" s="5"/>
      <c r="B31" s="240"/>
      <c r="F31" s="359"/>
      <c r="H31" s="6"/>
      <c r="J31" s="6"/>
    </row>
    <row r="32" spans="1:11" hidden="1" x14ac:dyDescent="0.25">
      <c r="A32" s="23" t="s">
        <v>191</v>
      </c>
      <c r="B32" s="143">
        <f>B5-SUM(B6:B9)</f>
        <v>0</v>
      </c>
      <c r="G32" s="482" t="s">
        <v>311</v>
      </c>
      <c r="H32" s="6">
        <f>SUM('Table 3.16-Route UAA PARS'!J106)</f>
        <v>2961.1730483626225</v>
      </c>
      <c r="J32" s="6">
        <f>SUM(F13)</f>
        <v>2961.1730483626225</v>
      </c>
      <c r="K32" s="143">
        <f t="shared" ref="K32:K39" si="3">H32-J32</f>
        <v>0</v>
      </c>
    </row>
    <row r="33" spans="1:11" hidden="1" x14ac:dyDescent="0.25">
      <c r="A33" s="5"/>
      <c r="B33" s="143">
        <f>B15-SUM(B16:B19)</f>
        <v>0</v>
      </c>
      <c r="G33" s="46" t="s">
        <v>312</v>
      </c>
      <c r="H33" s="6">
        <f>SUM('Table 3.18-Nixie UAA'!I6)</f>
        <v>290.89162344999954</v>
      </c>
      <c r="J33" s="6">
        <f>SUM(F14)</f>
        <v>290.89162344999954</v>
      </c>
      <c r="K33" s="143">
        <f t="shared" si="3"/>
        <v>0</v>
      </c>
    </row>
    <row r="34" spans="1:11" hidden="1" x14ac:dyDescent="0.25">
      <c r="A34" s="5"/>
      <c r="B34" s="143">
        <f>B29-SUM('Table 3.23-CIOSS Summary'!C4,'Table 3.23-CIOSS Summary'!C8,'Table 3.23-CIOSS Summary'!C11)</f>
        <v>0</v>
      </c>
      <c r="G34" s="46" t="s">
        <v>313</v>
      </c>
      <c r="H34" s="6">
        <f>SUM('Table 3.21-CFS CIOSS Rejs'!H9)</f>
        <v>8843.5846951300337</v>
      </c>
      <c r="J34" s="6">
        <f>SUM(F9,F19)</f>
        <v>8843.5846951300337</v>
      </c>
      <c r="K34" s="143">
        <f t="shared" si="3"/>
        <v>0</v>
      </c>
    </row>
    <row r="35" spans="1:11" hidden="1" x14ac:dyDescent="0.25">
      <c r="A35" s="5"/>
      <c r="B35" s="240"/>
      <c r="G35" s="483" t="s">
        <v>502</v>
      </c>
      <c r="H35" s="6">
        <f>SUM('Table 3.23-CIOSS Summary'!I4,'Table 3.23-CIOSS Summary'!I8,'Table 3.23-CIOSS Summary'!I11)</f>
        <v>42976.145728303571</v>
      </c>
      <c r="J35" s="6">
        <f>SUM(F5,F15)</f>
        <v>42976.145728303578</v>
      </c>
      <c r="K35" s="143">
        <f t="shared" si="3"/>
        <v>0</v>
      </c>
    </row>
    <row r="36" spans="1:11" hidden="1" x14ac:dyDescent="0.25">
      <c r="A36" s="5"/>
      <c r="B36" s="240"/>
      <c r="G36" s="483" t="s">
        <v>503</v>
      </c>
      <c r="H36" s="6">
        <f>'Table 3.25-REC Summary'!K4+'Table 3.25-REC Summary'!K8</f>
        <v>35767.511699865492</v>
      </c>
      <c r="J36" s="6">
        <f>SUM(F7:F8,F17:F18)</f>
        <v>35767.511699865499</v>
      </c>
      <c r="K36" s="143">
        <f t="shared" si="3"/>
        <v>0</v>
      </c>
    </row>
    <row r="37" spans="1:11" hidden="1" x14ac:dyDescent="0.25">
      <c r="A37" s="5"/>
      <c r="B37" s="240"/>
      <c r="G37" s="67" t="s">
        <v>518</v>
      </c>
      <c r="H37" s="32">
        <f>'Table 3.30-UAA MP Cost'!F8</f>
        <v>81039.157437325019</v>
      </c>
      <c r="J37" s="6">
        <f>F23</f>
        <v>81039.157437325019</v>
      </c>
      <c r="K37" s="143">
        <f t="shared" si="3"/>
        <v>0</v>
      </c>
    </row>
    <row r="38" spans="1:11" hidden="1" x14ac:dyDescent="0.25">
      <c r="A38" s="5"/>
      <c r="G38" s="67" t="s">
        <v>315</v>
      </c>
      <c r="H38" s="32">
        <f>SUM(F24:F26)</f>
        <v>0</v>
      </c>
      <c r="I38" s="27"/>
      <c r="J38" s="32">
        <f>SUM(F24:F26)</f>
        <v>0</v>
      </c>
      <c r="K38" s="143">
        <f t="shared" si="3"/>
        <v>0</v>
      </c>
    </row>
    <row r="39" spans="1:11" hidden="1" x14ac:dyDescent="0.25">
      <c r="A39" s="5"/>
      <c r="B39" s="240"/>
      <c r="G39" s="46" t="s">
        <v>314</v>
      </c>
      <c r="H39" s="6">
        <f>SUM(H32:H38)</f>
        <v>171878.46423243673</v>
      </c>
      <c r="J39" s="6">
        <f>SUM(J32:J38)</f>
        <v>171878.46423243676</v>
      </c>
      <c r="K39" s="143">
        <f t="shared" si="3"/>
        <v>0</v>
      </c>
    </row>
    <row r="40" spans="1:11" x14ac:dyDescent="0.25">
      <c r="A40" s="283"/>
      <c r="B40" s="283"/>
      <c r="C40" s="283"/>
      <c r="D40" s="283"/>
      <c r="E40" s="283"/>
      <c r="F40" s="283"/>
      <c r="H40" s="240"/>
    </row>
    <row r="41" spans="1:11" x14ac:dyDescent="0.25">
      <c r="A41" s="284" t="s">
        <v>235</v>
      </c>
    </row>
    <row r="42" spans="1:11" x14ac:dyDescent="0.25">
      <c r="A42" s="241" t="s">
        <v>65</v>
      </c>
      <c r="D42" s="12"/>
      <c r="E42" s="241" t="s">
        <v>679</v>
      </c>
    </row>
    <row r="43" spans="1:11" x14ac:dyDescent="0.25">
      <c r="A43" s="241" t="s">
        <v>580</v>
      </c>
      <c r="D43" s="12"/>
      <c r="E43" s="241" t="s">
        <v>680</v>
      </c>
      <c r="F43" s="6"/>
      <c r="H43" s="234"/>
      <c r="J43" s="6"/>
    </row>
    <row r="44" spans="1:11" x14ac:dyDescent="0.25">
      <c r="A44" s="241" t="s">
        <v>581</v>
      </c>
      <c r="D44" s="12"/>
      <c r="E44" s="241" t="s">
        <v>681</v>
      </c>
      <c r="F44" s="6"/>
      <c r="H44" s="234"/>
      <c r="J44" s="6"/>
    </row>
    <row r="45" spans="1:11" x14ac:dyDescent="0.25">
      <c r="A45" s="241" t="s">
        <v>583</v>
      </c>
      <c r="E45" s="241" t="s">
        <v>682</v>
      </c>
      <c r="J45" s="6"/>
    </row>
    <row r="46" spans="1:11" x14ac:dyDescent="0.25">
      <c r="A46" s="241" t="s">
        <v>678</v>
      </c>
      <c r="E46" s="241" t="s">
        <v>683</v>
      </c>
      <c r="F46" s="6"/>
    </row>
    <row r="47" spans="1:11" x14ac:dyDescent="0.25">
      <c r="A47" s="241" t="s">
        <v>584</v>
      </c>
      <c r="E47" s="241" t="s">
        <v>43</v>
      </c>
      <c r="F47" s="6"/>
    </row>
    <row r="48" spans="1:11" x14ac:dyDescent="0.25">
      <c r="A48" s="241" t="s">
        <v>615</v>
      </c>
    </row>
    <row r="49" spans="1:1" x14ac:dyDescent="0.25">
      <c r="A49" s="241" t="s">
        <v>585</v>
      </c>
    </row>
    <row r="50" spans="1:1" x14ac:dyDescent="0.25">
      <c r="A50" s="241" t="s">
        <v>588</v>
      </c>
    </row>
    <row r="51" spans="1:1" x14ac:dyDescent="0.25">
      <c r="A51" s="241" t="s">
        <v>589</v>
      </c>
    </row>
    <row r="52" spans="1:1" x14ac:dyDescent="0.25">
      <c r="A52" s="241" t="s">
        <v>616</v>
      </c>
    </row>
  </sheetData>
  <phoneticPr fontId="5" type="noConversion"/>
  <printOptions horizontalCentered="1"/>
  <pageMargins left="0.75" right="0.75" top="1" bottom="1" header="0.5" footer="0.5"/>
  <pageSetup scale="91" orientation="landscape" r:id="rId1"/>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
    <pageSetUpPr fitToPage="1"/>
  </sheetPr>
  <dimension ref="A1:C14"/>
  <sheetViews>
    <sheetView zoomScale="70" workbookViewId="0"/>
  </sheetViews>
  <sheetFormatPr defaultColWidth="9.109375" defaultRowHeight="13.2" x14ac:dyDescent="0.25"/>
  <cols>
    <col min="1" max="1" width="13.5546875" style="18" customWidth="1"/>
    <col min="2" max="3" width="11.6640625" style="18" customWidth="1"/>
    <col min="4" max="16384" width="9.109375" style="18"/>
  </cols>
  <sheetData>
    <row r="1" spans="1:3" ht="15.75" customHeight="1" x14ac:dyDescent="0.3">
      <c r="A1" s="157" t="s">
        <v>765</v>
      </c>
    </row>
    <row r="2" spans="1:3" ht="15.75" customHeight="1" x14ac:dyDescent="0.3">
      <c r="A2" s="158" t="s">
        <v>787</v>
      </c>
    </row>
    <row r="3" spans="1:3" ht="5.0999999999999996" customHeight="1" x14ac:dyDescent="0.3">
      <c r="A3" s="307"/>
    </row>
    <row r="4" spans="1:3" ht="26.4" x14ac:dyDescent="0.25">
      <c r="A4" s="431" t="s">
        <v>357</v>
      </c>
      <c r="B4" s="168" t="s">
        <v>250</v>
      </c>
      <c r="C4" s="227" t="s">
        <v>172</v>
      </c>
    </row>
    <row r="5" spans="1:3" x14ac:dyDescent="0.25">
      <c r="A5" s="151" t="s">
        <v>319</v>
      </c>
      <c r="B5" s="44">
        <f>'Table 3.37-Notice Inputs'!B19/1000</f>
        <v>5888.6433187378107</v>
      </c>
      <c r="C5" s="79">
        <f>B5/B7</f>
        <v>0.56239069836320355</v>
      </c>
    </row>
    <row r="6" spans="1:3" x14ac:dyDescent="0.25">
      <c r="A6" s="151" t="s">
        <v>318</v>
      </c>
      <c r="B6" s="44">
        <f>'Table 3.37-Notice Inputs'!B20/1000</f>
        <v>4582.0905249695461</v>
      </c>
      <c r="C6" s="80">
        <f>B6/B7</f>
        <v>0.43760930163679651</v>
      </c>
    </row>
    <row r="7" spans="1:3" x14ac:dyDescent="0.25">
      <c r="A7" s="151" t="s">
        <v>102</v>
      </c>
      <c r="B7" s="37">
        <f>SUM(B5:B6)</f>
        <v>10470.733843707356</v>
      </c>
      <c r="C7" s="599">
        <f>SUM(C5:C6)</f>
        <v>1</v>
      </c>
    </row>
    <row r="8" spans="1:3" x14ac:dyDescent="0.25">
      <c r="A8" s="141"/>
      <c r="B8" s="282"/>
      <c r="C8" s="456"/>
    </row>
    <row r="9" spans="1:3" x14ac:dyDescent="0.25">
      <c r="A9" s="66" t="s">
        <v>235</v>
      </c>
      <c r="B9" s="37"/>
      <c r="C9" s="109"/>
    </row>
    <row r="10" spans="1:3" x14ac:dyDescent="0.25">
      <c r="A10" s="125" t="s">
        <v>775</v>
      </c>
      <c r="B10" s="37"/>
      <c r="C10" s="109"/>
    </row>
    <row r="11" spans="1:3" x14ac:dyDescent="0.25">
      <c r="A11" s="4"/>
      <c r="B11" s="37"/>
      <c r="C11" s="109"/>
    </row>
    <row r="12" spans="1:3" x14ac:dyDescent="0.25">
      <c r="A12" s="4"/>
      <c r="B12" s="37"/>
      <c r="C12" s="109"/>
    </row>
    <row r="13" spans="1:3" x14ac:dyDescent="0.25">
      <c r="A13" s="4"/>
      <c r="B13" s="37"/>
      <c r="C13" s="109"/>
    </row>
    <row r="14" spans="1:3" x14ac:dyDescent="0.25">
      <c r="A14" s="4"/>
      <c r="B14" s="37"/>
      <c r="C14" s="109"/>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pageSetUpPr fitToPage="1"/>
  </sheetPr>
  <dimension ref="A1:O18"/>
  <sheetViews>
    <sheetView zoomScale="70" workbookViewId="0"/>
  </sheetViews>
  <sheetFormatPr defaultColWidth="7.88671875" defaultRowHeight="13.2" x14ac:dyDescent="0.25"/>
  <cols>
    <col min="1" max="1" width="28.109375" style="4" customWidth="1"/>
    <col min="2" max="2" width="26.33203125" style="4" customWidth="1"/>
    <col min="3" max="3" width="2.6640625" style="4" customWidth="1"/>
    <col min="4" max="4" width="12.6640625" style="4" customWidth="1"/>
    <col min="5" max="5" width="2.6640625" style="4" customWidth="1"/>
    <col min="6" max="6" width="25.88671875" style="38" customWidth="1"/>
    <col min="7" max="7" width="2.6640625" style="4" customWidth="1"/>
    <col min="8" max="8" width="12.6640625" style="4" customWidth="1"/>
    <col min="9" max="9" width="2.6640625" style="4" customWidth="1"/>
    <col min="10" max="10" width="11.33203125" style="4" customWidth="1"/>
    <col min="11" max="13" width="7.88671875" style="4" customWidth="1"/>
    <col min="14" max="14" width="9.44140625" style="4" customWidth="1"/>
    <col min="15" max="15" width="9.33203125" style="4" customWidth="1"/>
    <col min="16" max="16384" width="7.88671875" style="4"/>
  </cols>
  <sheetData>
    <row r="1" spans="1:15" ht="15.6" x14ac:dyDescent="0.3">
      <c r="A1" s="157" t="s">
        <v>719</v>
      </c>
      <c r="B1" s="1"/>
      <c r="C1" s="1"/>
      <c r="D1" s="1"/>
      <c r="E1" s="1"/>
      <c r="F1" s="1"/>
    </row>
    <row r="2" spans="1:15" ht="15.6" x14ac:dyDescent="0.3">
      <c r="A2" s="158" t="s">
        <v>787</v>
      </c>
      <c r="B2" s="1"/>
      <c r="C2" s="1"/>
      <c r="D2" s="1"/>
      <c r="E2" s="1"/>
      <c r="F2" s="1"/>
    </row>
    <row r="3" spans="1:15" ht="26.4" x14ac:dyDescent="0.25">
      <c r="B3" s="9" t="s">
        <v>745</v>
      </c>
      <c r="C3" s="9"/>
      <c r="D3" s="9" t="s">
        <v>457</v>
      </c>
      <c r="E3" s="9"/>
      <c r="F3" s="9" t="s">
        <v>458</v>
      </c>
      <c r="H3" s="301" t="s">
        <v>256</v>
      </c>
      <c r="I3" s="102"/>
      <c r="J3" s="3" t="s">
        <v>134</v>
      </c>
    </row>
    <row r="4" spans="1:15" x14ac:dyDescent="0.25">
      <c r="A4" s="91" t="s">
        <v>743</v>
      </c>
      <c r="B4" s="245">
        <f>SUM('Table 3.29-UAA MP Units'!B22:C22)/SUM('Table 3.29-UAA MP Units'!B27:C27)+'Table 3.29-UAA MP Units'!B12</f>
        <v>7.1303285375288766E-2</v>
      </c>
      <c r="C4" s="571" t="s">
        <v>236</v>
      </c>
      <c r="D4" s="235">
        <f>'Table 3.37-Notice Inputs'!B4</f>
        <v>1.0360078863380962</v>
      </c>
      <c r="E4" s="303" t="s">
        <v>239</v>
      </c>
      <c r="F4" s="103">
        <f>B4/D4</f>
        <v>6.8825041117514515E-2</v>
      </c>
      <c r="H4" s="80">
        <v>1.6624309879114112</v>
      </c>
      <c r="I4" s="80"/>
      <c r="J4" s="103">
        <f>F4*H4</f>
        <v>0.11441688109803315</v>
      </c>
      <c r="M4" s="37"/>
      <c r="N4" s="595"/>
      <c r="O4" s="38"/>
    </row>
    <row r="5" spans="1:15" x14ac:dyDescent="0.25">
      <c r="A5" s="91" t="s">
        <v>744</v>
      </c>
      <c r="B5" s="245">
        <v>4.9442335611897453E-2</v>
      </c>
      <c r="C5" s="571" t="s">
        <v>240</v>
      </c>
      <c r="D5" s="235">
        <v>1</v>
      </c>
      <c r="E5" s="303"/>
      <c r="F5" s="103">
        <f>B5/D5</f>
        <v>4.9442335611897453E-2</v>
      </c>
      <c r="H5" s="80">
        <v>1.6624309879114112</v>
      </c>
      <c r="I5" s="80"/>
      <c r="J5" s="103">
        <f>F5*H5</f>
        <v>8.219447083593423E-2</v>
      </c>
      <c r="M5" s="37"/>
      <c r="N5" s="595"/>
      <c r="O5" s="595"/>
    </row>
    <row r="6" spans="1:15" x14ac:dyDescent="0.25">
      <c r="A6" s="5" t="s">
        <v>126</v>
      </c>
      <c r="B6" s="245">
        <f>'Table 3.29-UAA MP Units'!D17+'Table 3.29-UAA MP Units'!B12</f>
        <v>0.2215119125800333</v>
      </c>
      <c r="C6" s="571" t="s">
        <v>236</v>
      </c>
      <c r="D6" s="235">
        <f>'Table 3.37-Notice Inputs'!B5</f>
        <v>8.3373400462591807</v>
      </c>
      <c r="E6" s="303" t="s">
        <v>239</v>
      </c>
      <c r="F6" s="103">
        <f>B6/D6</f>
        <v>2.6568655152721263E-2</v>
      </c>
      <c r="H6" s="80">
        <v>1.6624309879114112</v>
      </c>
      <c r="I6" s="80"/>
      <c r="J6" s="103">
        <f>F6*H6</f>
        <v>4.4168555633016013E-2</v>
      </c>
      <c r="M6" s="37"/>
      <c r="N6" s="37"/>
      <c r="O6" s="596"/>
    </row>
    <row r="7" spans="1:15" x14ac:dyDescent="0.25">
      <c r="A7" s="91" t="s">
        <v>268</v>
      </c>
      <c r="B7" s="245">
        <f>SUM('Table 3.29-UAA MP Units'!B22:C22)/SUM('Table 3.29-UAA MP Units'!B27:C27)+'Table 3.29-UAA MP Units'!B12</f>
        <v>7.1303285375288766E-2</v>
      </c>
      <c r="C7" s="571" t="s">
        <v>236</v>
      </c>
      <c r="D7" s="235">
        <v>1</v>
      </c>
      <c r="E7" s="303"/>
      <c r="F7" s="103">
        <f>B7/D7</f>
        <v>7.1303285375288766E-2</v>
      </c>
      <c r="H7" s="80">
        <v>1.6624309879114112</v>
      </c>
      <c r="I7" s="80"/>
      <c r="J7" s="103">
        <f>F7*H7</f>
        <v>0.11853679114777058</v>
      </c>
    </row>
    <row r="8" spans="1:15" x14ac:dyDescent="0.25">
      <c r="A8" s="302"/>
      <c r="B8" s="302"/>
      <c r="C8" s="302"/>
      <c r="D8" s="302"/>
      <c r="E8" s="66"/>
      <c r="F8" s="243"/>
      <c r="G8" s="244"/>
      <c r="H8" s="66"/>
      <c r="I8" s="66"/>
      <c r="J8" s="66"/>
    </row>
    <row r="9" spans="1:15" x14ac:dyDescent="0.25">
      <c r="A9" s="66" t="s">
        <v>235</v>
      </c>
      <c r="B9" s="66"/>
      <c r="C9" s="66"/>
      <c r="D9" s="66"/>
      <c r="E9" s="66"/>
      <c r="F9" s="243"/>
      <c r="G9" s="66"/>
      <c r="H9" s="66"/>
      <c r="I9" s="66"/>
      <c r="J9" s="66"/>
    </row>
    <row r="10" spans="1:15" x14ac:dyDescent="0.25">
      <c r="A10" s="125" t="s">
        <v>722</v>
      </c>
      <c r="B10" s="245"/>
      <c r="C10" s="245"/>
      <c r="D10" s="66"/>
      <c r="E10" s="66"/>
      <c r="F10" s="243"/>
      <c r="G10" s="244"/>
      <c r="H10" s="66"/>
      <c r="I10" s="66"/>
      <c r="J10" s="66"/>
    </row>
    <row r="11" spans="1:15" x14ac:dyDescent="0.25">
      <c r="A11" s="25" t="s">
        <v>795</v>
      </c>
      <c r="B11" s="66"/>
      <c r="C11" s="66"/>
      <c r="D11" s="66"/>
      <c r="E11" s="66"/>
      <c r="F11" s="243"/>
      <c r="G11" s="66"/>
      <c r="H11" s="66"/>
      <c r="I11" s="66"/>
      <c r="J11" s="66"/>
    </row>
    <row r="12" spans="1:15" x14ac:dyDescent="0.25">
      <c r="A12" s="125" t="s">
        <v>706</v>
      </c>
      <c r="B12" s="66"/>
      <c r="C12" s="66"/>
      <c r="D12" s="66"/>
      <c r="E12" s="66"/>
      <c r="F12" s="243"/>
      <c r="G12" s="66"/>
      <c r="H12" s="66"/>
      <c r="I12" s="66"/>
      <c r="J12" s="66"/>
    </row>
    <row r="13" spans="1:15" x14ac:dyDescent="0.25">
      <c r="A13" s="125" t="s">
        <v>822</v>
      </c>
      <c r="B13" s="66"/>
      <c r="C13" s="66"/>
      <c r="D13" s="66"/>
      <c r="E13" s="66"/>
      <c r="F13" s="243"/>
      <c r="G13" s="66"/>
      <c r="H13" s="66"/>
      <c r="I13" s="66"/>
      <c r="J13" s="66"/>
    </row>
    <row r="14" spans="1:15" x14ac:dyDescent="0.25">
      <c r="A14" s="125"/>
      <c r="B14" s="66"/>
      <c r="C14" s="66"/>
      <c r="D14" s="66"/>
      <c r="E14" s="66"/>
      <c r="F14" s="243"/>
      <c r="G14" s="66"/>
      <c r="H14" s="66"/>
      <c r="I14" s="66"/>
      <c r="J14" s="66"/>
    </row>
    <row r="15" spans="1:15" x14ac:dyDescent="0.25">
      <c r="A15" s="556"/>
    </row>
    <row r="16" spans="1:15" x14ac:dyDescent="0.25">
      <c r="A16" s="557"/>
      <c r="B16" s="66"/>
      <c r="C16" s="66"/>
      <c r="D16" s="66"/>
      <c r="E16" s="66"/>
      <c r="F16" s="66"/>
      <c r="G16" s="66"/>
    </row>
    <row r="17" spans="1:7" x14ac:dyDescent="0.25">
      <c r="A17" s="557"/>
      <c r="B17" s="66"/>
      <c r="C17" s="66"/>
      <c r="D17" s="66"/>
      <c r="E17" s="66"/>
      <c r="F17" s="66"/>
      <c r="G17" s="66"/>
    </row>
    <row r="18" spans="1:7" x14ac:dyDescent="0.25">
      <c r="A18" s="557"/>
      <c r="B18" s="66"/>
      <c r="C18" s="66"/>
      <c r="D18" s="66"/>
      <c r="E18" s="66"/>
      <c r="F18" s="66"/>
      <c r="G18" s="66"/>
    </row>
  </sheetData>
  <phoneticPr fontId="0" type="noConversion"/>
  <printOptions horizontalCentered="1"/>
  <pageMargins left="0.75" right="0.75" top="1" bottom="1" header="0.5" footer="0.5"/>
  <pageSetup scale="96" orientation="landscape"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6">
    <pageSetUpPr fitToPage="1"/>
  </sheetPr>
  <dimension ref="A1:F44"/>
  <sheetViews>
    <sheetView zoomScale="70" workbookViewId="0"/>
  </sheetViews>
  <sheetFormatPr defaultRowHeight="13.2" x14ac:dyDescent="0.25"/>
  <cols>
    <col min="1" max="1" width="42.6640625" customWidth="1"/>
    <col min="2" max="2" width="13.6640625" customWidth="1"/>
    <col min="3" max="3" width="3.33203125" customWidth="1"/>
    <col min="4" max="4" width="10.6640625" customWidth="1"/>
    <col min="5" max="5" width="3.33203125" customWidth="1"/>
    <col min="6" max="6" width="13.6640625" customWidth="1"/>
  </cols>
  <sheetData>
    <row r="1" spans="1:6" ht="15.6" x14ac:dyDescent="0.3">
      <c r="A1" s="158" t="s">
        <v>720</v>
      </c>
      <c r="B1" s="17"/>
      <c r="C1" s="17"/>
      <c r="D1" s="17"/>
      <c r="E1" s="17"/>
      <c r="F1" s="17"/>
    </row>
    <row r="2" spans="1:6" ht="15.6" x14ac:dyDescent="0.3">
      <c r="A2" s="158" t="s">
        <v>787</v>
      </c>
      <c r="B2" s="17"/>
      <c r="C2" s="17"/>
      <c r="D2" s="17"/>
      <c r="E2" s="17"/>
      <c r="F2" s="17"/>
    </row>
    <row r="3" spans="1:6" x14ac:dyDescent="0.25">
      <c r="A3" s="34"/>
      <c r="B3" s="148"/>
      <c r="C3" s="149"/>
      <c r="D3" s="149"/>
      <c r="E3" s="149"/>
      <c r="F3" s="150"/>
    </row>
    <row r="4" spans="1:6" x14ac:dyDescent="0.25">
      <c r="A4" s="18"/>
      <c r="B4" s="233" t="s">
        <v>226</v>
      </c>
      <c r="C4" s="233"/>
      <c r="D4" s="152"/>
      <c r="E4" s="308"/>
      <c r="F4" s="230" t="s">
        <v>117</v>
      </c>
    </row>
    <row r="5" spans="1:6" x14ac:dyDescent="0.25">
      <c r="A5" s="18"/>
      <c r="B5" s="232" t="s">
        <v>118</v>
      </c>
      <c r="C5" s="232"/>
      <c r="D5" s="155" t="s">
        <v>97</v>
      </c>
      <c r="E5" s="309"/>
      <c r="F5" s="231" t="s">
        <v>118</v>
      </c>
    </row>
    <row r="6" spans="1:6" x14ac:dyDescent="0.25">
      <c r="A6" s="250" t="s">
        <v>119</v>
      </c>
      <c r="B6" s="251"/>
      <c r="C6" s="251"/>
      <c r="D6" s="251"/>
      <c r="E6" s="310"/>
      <c r="F6" s="252"/>
    </row>
    <row r="7" spans="1:6" x14ac:dyDescent="0.25">
      <c r="A7" s="253" t="s">
        <v>120</v>
      </c>
      <c r="B7" s="254"/>
      <c r="C7" s="254"/>
      <c r="D7" s="255"/>
      <c r="E7" s="311"/>
      <c r="F7" s="256"/>
    </row>
    <row r="8" spans="1:6" x14ac:dyDescent="0.25">
      <c r="A8" s="321" t="s">
        <v>455</v>
      </c>
      <c r="B8" s="153">
        <f>'Table 3.11-Form3547 Costs'!L52</f>
        <v>1.4229057349791845E-2</v>
      </c>
      <c r="C8" s="315" t="s">
        <v>236</v>
      </c>
      <c r="D8" s="255"/>
      <c r="E8" s="311"/>
      <c r="F8" s="256"/>
    </row>
    <row r="9" spans="1:6" x14ac:dyDescent="0.25">
      <c r="A9" s="321" t="s">
        <v>318</v>
      </c>
      <c r="B9" s="153">
        <f>'Table 3.11-Form3547 Costs'!L53</f>
        <v>1.5473303761124584E-3</v>
      </c>
      <c r="C9" s="315" t="s">
        <v>236</v>
      </c>
      <c r="D9" s="255"/>
      <c r="E9" s="311"/>
      <c r="F9" s="256"/>
    </row>
    <row r="10" spans="1:6" x14ac:dyDescent="0.25">
      <c r="A10" s="257" t="s">
        <v>121</v>
      </c>
      <c r="B10" s="153">
        <f>'Table 3.11-Form3547 Costs'!L54</f>
        <v>8.5263826191837047E-2</v>
      </c>
      <c r="C10" s="315" t="s">
        <v>236</v>
      </c>
      <c r="D10" s="116"/>
      <c r="E10" s="312"/>
      <c r="F10" s="256"/>
    </row>
    <row r="11" spans="1:6" x14ac:dyDescent="0.25">
      <c r="A11" s="257" t="s">
        <v>122</v>
      </c>
      <c r="B11" s="153">
        <f>'Table 3.11-Form3547 Costs'!L55</f>
        <v>0.83724676587564772</v>
      </c>
      <c r="C11" s="315" t="s">
        <v>236</v>
      </c>
      <c r="D11" s="255"/>
      <c r="E11" s="311"/>
      <c r="F11" s="256"/>
    </row>
    <row r="12" spans="1:6" x14ac:dyDescent="0.25">
      <c r="A12" s="257" t="s">
        <v>123</v>
      </c>
      <c r="B12" s="153">
        <f>'Table 3.11-Form3547 Costs'!L56</f>
        <v>3.0065117669064615E-2</v>
      </c>
      <c r="C12" s="315" t="s">
        <v>236</v>
      </c>
      <c r="D12" s="255"/>
      <c r="E12" s="311"/>
      <c r="F12" s="256"/>
    </row>
    <row r="13" spans="1:6" x14ac:dyDescent="0.25">
      <c r="A13" s="258" t="s">
        <v>102</v>
      </c>
      <c r="B13" s="154">
        <f>SUM(B8:B12)</f>
        <v>0.96835209746245365</v>
      </c>
      <c r="C13" s="154"/>
      <c r="D13" s="263">
        <f>'Table 3.37-Notice Inputs'!B12</f>
        <v>0.69418282281898935</v>
      </c>
      <c r="E13" s="316" t="s">
        <v>238</v>
      </c>
      <c r="F13" s="260">
        <f>B13*D13</f>
        <v>0.67221339249917522</v>
      </c>
    </row>
    <row r="14" spans="1:6" x14ac:dyDescent="0.25">
      <c r="A14" s="261"/>
      <c r="B14" s="153"/>
      <c r="C14" s="153"/>
      <c r="D14" s="259"/>
      <c r="E14" s="313"/>
      <c r="F14" s="262"/>
    </row>
    <row r="15" spans="1:6" x14ac:dyDescent="0.25">
      <c r="A15" s="253" t="s">
        <v>114</v>
      </c>
      <c r="B15" s="153"/>
      <c r="C15" s="153"/>
      <c r="D15" s="259"/>
      <c r="E15" s="313"/>
      <c r="F15" s="262"/>
    </row>
    <row r="16" spans="1:6" x14ac:dyDescent="0.25">
      <c r="A16" s="321" t="s">
        <v>455</v>
      </c>
      <c r="B16" s="153">
        <f>'Table 3.11-Form3547 Costs'!L60</f>
        <v>6.3727527442844933E-2</v>
      </c>
      <c r="C16" s="315" t="s">
        <v>236</v>
      </c>
      <c r="D16" s="259"/>
      <c r="E16" s="313"/>
      <c r="F16" s="262"/>
    </row>
    <row r="17" spans="1:6" x14ac:dyDescent="0.25">
      <c r="A17" s="321" t="s">
        <v>318</v>
      </c>
      <c r="B17" s="153">
        <f>'Table 3.11-Form3547 Costs'!L61</f>
        <v>6.9300120579173004E-3</v>
      </c>
      <c r="C17" s="315" t="s">
        <v>236</v>
      </c>
      <c r="D17" s="259"/>
      <c r="E17" s="313"/>
      <c r="F17" s="262"/>
    </row>
    <row r="18" spans="1:6" x14ac:dyDescent="0.25">
      <c r="A18" s="257" t="s">
        <v>121</v>
      </c>
      <c r="B18" s="153">
        <f>'Table 3.11-Form3547 Costs'!L62</f>
        <v>9.5941159943066193E-2</v>
      </c>
      <c r="C18" s="315" t="s">
        <v>236</v>
      </c>
      <c r="D18" s="259"/>
      <c r="E18" s="313"/>
      <c r="F18" s="262"/>
    </row>
    <row r="19" spans="1:6" x14ac:dyDescent="0.25">
      <c r="A19" s="257" t="s">
        <v>122</v>
      </c>
      <c r="B19" s="153">
        <f>'Table 3.11-Form3547 Costs'!L63</f>
        <v>1.0763655177596576</v>
      </c>
      <c r="C19" s="315" t="s">
        <v>236</v>
      </c>
      <c r="D19" s="259"/>
      <c r="E19" s="313"/>
      <c r="F19" s="262"/>
    </row>
    <row r="20" spans="1:6" x14ac:dyDescent="0.25">
      <c r="A20" s="257" t="s">
        <v>123</v>
      </c>
      <c r="B20" s="153">
        <f>'Table 3.11-Form3547 Costs'!L64</f>
        <v>2.9717707530987989E-2</v>
      </c>
      <c r="C20" s="315" t="s">
        <v>236</v>
      </c>
      <c r="D20" s="259"/>
      <c r="E20" s="313"/>
      <c r="F20" s="262"/>
    </row>
    <row r="21" spans="1:6" x14ac:dyDescent="0.25">
      <c r="A21" s="253" t="s">
        <v>102</v>
      </c>
      <c r="B21" s="154">
        <f>SUM(B16:B20)</f>
        <v>1.2726819247344741</v>
      </c>
      <c r="C21" s="154"/>
      <c r="D21" s="263">
        <f>'Table 3.37-Notice Inputs'!B13</f>
        <v>8.6022016490274092E-2</v>
      </c>
      <c r="E21" s="316" t="s">
        <v>238</v>
      </c>
      <c r="F21" s="260">
        <f>B21*D21</f>
        <v>0.1094786655163827</v>
      </c>
    </row>
    <row r="22" spans="1:6" x14ac:dyDescent="0.25">
      <c r="A22" s="261"/>
      <c r="B22" s="153"/>
      <c r="C22" s="153"/>
      <c r="D22" s="263"/>
      <c r="E22" s="313"/>
      <c r="F22" s="262"/>
    </row>
    <row r="23" spans="1:6" x14ac:dyDescent="0.25">
      <c r="A23" s="253" t="s">
        <v>124</v>
      </c>
      <c r="B23" s="153"/>
      <c r="C23" s="153"/>
      <c r="D23" s="263">
        <f>1-D13-D21</f>
        <v>0.21979516069073657</v>
      </c>
      <c r="E23" s="316" t="s">
        <v>238</v>
      </c>
      <c r="F23" s="260">
        <v>0</v>
      </c>
    </row>
    <row r="24" spans="1:6" x14ac:dyDescent="0.25">
      <c r="A24" s="261"/>
      <c r="B24" s="153"/>
      <c r="C24" s="153"/>
      <c r="D24" s="263"/>
      <c r="E24" s="314"/>
      <c r="F24" s="262"/>
    </row>
    <row r="25" spans="1:6" x14ac:dyDescent="0.25">
      <c r="A25" s="253" t="s">
        <v>125</v>
      </c>
      <c r="B25" s="153"/>
      <c r="C25" s="153"/>
      <c r="D25" s="263">
        <f>SUM(D13,D21,D23)</f>
        <v>1</v>
      </c>
      <c r="E25" s="313"/>
      <c r="F25" s="264">
        <f>SUM(F13:F23)</f>
        <v>0.78169205801555797</v>
      </c>
    </row>
    <row r="26" spans="1:6" x14ac:dyDescent="0.25">
      <c r="A26" s="261"/>
      <c r="B26" s="153"/>
      <c r="C26" s="153"/>
      <c r="D26" s="263"/>
      <c r="E26" s="313"/>
      <c r="F26" s="262"/>
    </row>
    <row r="27" spans="1:6" x14ac:dyDescent="0.25">
      <c r="A27" s="253" t="s">
        <v>126</v>
      </c>
      <c r="B27" s="153"/>
      <c r="C27" s="153"/>
      <c r="D27" s="263"/>
      <c r="E27" s="313"/>
      <c r="F27" s="262"/>
    </row>
    <row r="28" spans="1:6" x14ac:dyDescent="0.25">
      <c r="A28" s="321" t="s">
        <v>455</v>
      </c>
      <c r="B28" s="153">
        <f>'Table 3.12-Form3579 Costs'!L7</f>
        <v>0.52876492664148778</v>
      </c>
      <c r="C28" s="315" t="s">
        <v>239</v>
      </c>
      <c r="D28" s="263"/>
      <c r="E28" s="313"/>
      <c r="F28" s="262"/>
    </row>
    <row r="29" spans="1:6" x14ac:dyDescent="0.25">
      <c r="A29" s="321" t="s">
        <v>318</v>
      </c>
      <c r="B29" s="153">
        <f>'Table 3.12-Form3579 Costs'!L8</f>
        <v>0.37741551961167724</v>
      </c>
      <c r="C29" s="315" t="s">
        <v>239</v>
      </c>
      <c r="D29" s="263"/>
      <c r="E29" s="313"/>
      <c r="F29" s="262"/>
    </row>
    <row r="30" spans="1:6" x14ac:dyDescent="0.25">
      <c r="A30" s="257" t="s">
        <v>121</v>
      </c>
      <c r="B30" s="153">
        <f>'Table 3.12-Form3579 Costs'!L9</f>
        <v>4.4168555633016013E-2</v>
      </c>
      <c r="C30" s="315" t="s">
        <v>239</v>
      </c>
      <c r="D30" s="263"/>
      <c r="E30" s="313"/>
      <c r="F30" s="262"/>
    </row>
    <row r="31" spans="1:6" x14ac:dyDescent="0.25">
      <c r="A31" s="257" t="s">
        <v>122</v>
      </c>
      <c r="B31" s="153">
        <f>'Table 3.12-Form3579 Costs'!L10</f>
        <v>0.18516522586631273</v>
      </c>
      <c r="C31" s="315" t="s">
        <v>239</v>
      </c>
      <c r="D31" s="263"/>
      <c r="E31" s="313"/>
      <c r="F31" s="262"/>
    </row>
    <row r="32" spans="1:6" x14ac:dyDescent="0.25">
      <c r="A32" s="257" t="s">
        <v>123</v>
      </c>
      <c r="B32" s="153">
        <f>'Table 3.12-Form3579 Costs'!L11</f>
        <v>3.6180587110722535E-3</v>
      </c>
      <c r="C32" s="315" t="s">
        <v>239</v>
      </c>
      <c r="D32" s="263"/>
      <c r="E32" s="313"/>
      <c r="F32" s="262"/>
    </row>
    <row r="33" spans="1:6" x14ac:dyDescent="0.25">
      <c r="A33" s="253" t="s">
        <v>127</v>
      </c>
      <c r="B33" s="154">
        <f>SUM(B28:B32)</f>
        <v>1.1391322864635662</v>
      </c>
      <c r="C33" s="154"/>
      <c r="D33" s="263">
        <v>1</v>
      </c>
      <c r="E33" s="313"/>
      <c r="F33" s="260">
        <f>B33*D33</f>
        <v>1.1391322864635662</v>
      </c>
    </row>
    <row r="34" spans="1:6" x14ac:dyDescent="0.25">
      <c r="A34" s="257"/>
      <c r="B34" s="153"/>
      <c r="C34" s="153"/>
      <c r="D34" s="255"/>
      <c r="E34" s="311"/>
      <c r="F34" s="262"/>
    </row>
    <row r="35" spans="1:6" x14ac:dyDescent="0.25">
      <c r="A35" s="591" t="s">
        <v>10</v>
      </c>
      <c r="B35" s="266"/>
      <c r="C35" s="266"/>
      <c r="D35" s="267"/>
      <c r="E35" s="267"/>
      <c r="F35" s="268">
        <f>(F25*'Table 3.37-Notice Inputs'!B17+F33*'Table 3.37-Notice Inputs'!B21)/SUM('Table 3.37-Notice Inputs'!B17,'Table 3.37-Notice Inputs'!B21)</f>
        <v>0.83289995182454368</v>
      </c>
    </row>
    <row r="36" spans="1:6" hidden="1" x14ac:dyDescent="0.25">
      <c r="A36" s="27"/>
      <c r="B36" s="35"/>
      <c r="C36" s="35"/>
      <c r="D36" s="35"/>
      <c r="E36" s="35"/>
      <c r="F36" s="27"/>
    </row>
    <row r="37" spans="1:6" hidden="1" x14ac:dyDescent="0.25">
      <c r="B37" s="35"/>
      <c r="C37" s="35"/>
      <c r="D37" s="35"/>
      <c r="E37" s="408" t="s">
        <v>188</v>
      </c>
      <c r="F37" s="143">
        <f>F25-'Table 3.11-Form3547 Costs'!P69</f>
        <v>0</v>
      </c>
    </row>
    <row r="38" spans="1:6" hidden="1" x14ac:dyDescent="0.25">
      <c r="A38" s="27"/>
      <c r="B38" s="35"/>
      <c r="C38" s="35"/>
      <c r="D38" s="35"/>
      <c r="E38" s="408" t="s">
        <v>188</v>
      </c>
      <c r="F38" s="143">
        <f>F33-'Table 3.12-Form3579 Costs'!P12</f>
        <v>0</v>
      </c>
    </row>
    <row r="39" spans="1:6" hidden="1" x14ac:dyDescent="0.25">
      <c r="A39" s="27"/>
      <c r="B39" s="35"/>
      <c r="C39" s="35"/>
      <c r="D39" s="35"/>
      <c r="E39" s="408" t="s">
        <v>188</v>
      </c>
      <c r="F39" s="143">
        <f>F35-'Table 3.1-UAA Summary'!M58</f>
        <v>0</v>
      </c>
    </row>
    <row r="40" spans="1:6" x14ac:dyDescent="0.25">
      <c r="A40" s="317"/>
      <c r="B40" s="318"/>
      <c r="C40" s="318"/>
      <c r="D40" s="35"/>
      <c r="E40" s="35"/>
      <c r="F40" s="27"/>
    </row>
    <row r="41" spans="1:6" x14ac:dyDescent="0.25">
      <c r="A41" s="27" t="s">
        <v>235</v>
      </c>
      <c r="B41" s="35"/>
      <c r="C41" s="35"/>
      <c r="D41" s="35"/>
      <c r="E41" s="35"/>
      <c r="F41" s="27"/>
    </row>
    <row r="42" spans="1:6" x14ac:dyDescent="0.25">
      <c r="A42" s="241" t="s">
        <v>480</v>
      </c>
      <c r="B42" s="35"/>
      <c r="C42" s="35"/>
      <c r="D42" s="35"/>
      <c r="E42" s="35"/>
      <c r="F42" s="27"/>
    </row>
    <row r="43" spans="1:6" x14ac:dyDescent="0.25">
      <c r="A43" s="241" t="s">
        <v>707</v>
      </c>
      <c r="B43" s="35"/>
      <c r="C43" s="35"/>
      <c r="D43" s="35"/>
      <c r="E43" s="35"/>
      <c r="F43" s="27"/>
    </row>
    <row r="44" spans="1:6" x14ac:dyDescent="0.25">
      <c r="A44" s="12" t="s">
        <v>668</v>
      </c>
    </row>
  </sheetData>
  <phoneticPr fontId="0" type="noConversion"/>
  <printOptions horizontalCentered="1"/>
  <pageMargins left="0.75" right="0.75" top="1" bottom="1" header="0.5" footer="0.5"/>
  <pageSetup scale="93" orientation="landscape"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M34"/>
  <sheetViews>
    <sheetView zoomScale="70" workbookViewId="0"/>
  </sheetViews>
  <sheetFormatPr defaultRowHeight="13.2" x14ac:dyDescent="0.25"/>
  <cols>
    <col min="1" max="1" width="25.33203125" customWidth="1"/>
    <col min="2" max="5" width="10.6640625" customWidth="1"/>
    <col min="6" max="6" width="3.6640625" customWidth="1"/>
    <col min="7" max="9" width="10.6640625" customWidth="1"/>
    <col min="10" max="10" width="3.6640625" customWidth="1"/>
    <col min="11" max="13" width="10.6640625" customWidth="1"/>
  </cols>
  <sheetData>
    <row r="1" spans="1:13" ht="15.6" x14ac:dyDescent="0.3">
      <c r="A1" s="158" t="s">
        <v>721</v>
      </c>
    </row>
    <row r="2" spans="1:13" ht="15.6" x14ac:dyDescent="0.3">
      <c r="A2" s="158" t="s">
        <v>787</v>
      </c>
    </row>
    <row r="4" spans="1:13" x14ac:dyDescent="0.25">
      <c r="B4" s="469" t="s">
        <v>574</v>
      </c>
      <c r="C4" s="395"/>
      <c r="D4" s="395"/>
      <c r="E4" s="396"/>
      <c r="F4" s="18"/>
      <c r="G4" s="469" t="s">
        <v>479</v>
      </c>
      <c r="H4" s="395"/>
      <c r="I4" s="396"/>
      <c r="K4" s="469" t="s">
        <v>269</v>
      </c>
      <c r="L4" s="395"/>
      <c r="M4" s="396"/>
    </row>
    <row r="5" spans="1:13" x14ac:dyDescent="0.25">
      <c r="B5" s="472" t="s">
        <v>460</v>
      </c>
      <c r="C5" s="221" t="s">
        <v>459</v>
      </c>
      <c r="D5" s="221" t="s">
        <v>460</v>
      </c>
      <c r="E5" s="473" t="s">
        <v>461</v>
      </c>
      <c r="F5" s="18"/>
      <c r="G5" s="472"/>
      <c r="H5" s="221"/>
      <c r="I5" s="473"/>
      <c r="K5" s="472"/>
      <c r="L5" s="18"/>
      <c r="M5" s="369"/>
    </row>
    <row r="6" spans="1:13" x14ac:dyDescent="0.25">
      <c r="A6" s="283" t="s">
        <v>396</v>
      </c>
      <c r="B6" s="470" t="s">
        <v>462</v>
      </c>
      <c r="C6" s="451" t="s">
        <v>463</v>
      </c>
      <c r="D6" s="451" t="s">
        <v>464</v>
      </c>
      <c r="E6" s="471" t="s">
        <v>464</v>
      </c>
      <c r="F6" s="18"/>
      <c r="G6" s="475" t="s">
        <v>147</v>
      </c>
      <c r="H6" s="476" t="s">
        <v>344</v>
      </c>
      <c r="I6" s="394" t="s">
        <v>102</v>
      </c>
      <c r="K6" s="475" t="s">
        <v>147</v>
      </c>
      <c r="L6" s="476" t="s">
        <v>344</v>
      </c>
      <c r="M6" s="394" t="s">
        <v>102</v>
      </c>
    </row>
    <row r="7" spans="1:13" x14ac:dyDescent="0.25">
      <c r="A7" s="16" t="s">
        <v>465</v>
      </c>
    </row>
    <row r="8" spans="1:13" x14ac:dyDescent="0.25">
      <c r="A8" s="353" t="s">
        <v>408</v>
      </c>
      <c r="B8" s="6">
        <v>237142.63200000001</v>
      </c>
      <c r="C8" s="6">
        <v>3557.1394799999998</v>
      </c>
      <c r="D8" s="6">
        <v>91051.62498429601</v>
      </c>
      <c r="E8" s="6">
        <v>142533.86753570402</v>
      </c>
      <c r="F8" s="6"/>
      <c r="G8" s="6">
        <v>0</v>
      </c>
      <c r="H8" s="6">
        <v>49249.128680374633</v>
      </c>
      <c r="I8" s="6">
        <f>SUM(G8:H8)</f>
        <v>49249.128680374633</v>
      </c>
      <c r="J8" s="6"/>
      <c r="K8" s="6">
        <f>B8+G8</f>
        <v>237142.63200000001</v>
      </c>
      <c r="L8" s="6">
        <f>H8</f>
        <v>49249.128680374633</v>
      </c>
      <c r="M8" s="6">
        <f>SUM(K8:L8)</f>
        <v>286391.76068037463</v>
      </c>
    </row>
    <row r="9" spans="1:13" x14ac:dyDescent="0.25">
      <c r="A9" s="353" t="s">
        <v>407</v>
      </c>
      <c r="B9" s="6">
        <v>858197.65891689213</v>
      </c>
      <c r="C9" s="6">
        <v>42909.88294584462</v>
      </c>
      <c r="D9" s="6">
        <v>317799.17507351434</v>
      </c>
      <c r="E9" s="6">
        <v>497488.60089753324</v>
      </c>
      <c r="F9" s="6"/>
      <c r="G9" s="6">
        <v>0</v>
      </c>
      <c r="H9" s="6">
        <v>53034.334109410855</v>
      </c>
      <c r="I9" s="6">
        <f>SUM(G9:H9)</f>
        <v>53034.334109410855</v>
      </c>
      <c r="J9" s="6"/>
      <c r="K9" s="6">
        <f>B9+G9</f>
        <v>858197.65891689213</v>
      </c>
      <c r="L9" s="6">
        <f>H9</f>
        <v>53034.334109410855</v>
      </c>
      <c r="M9" s="6">
        <f>SUM(K9:L9)</f>
        <v>911231.99302630301</v>
      </c>
    </row>
    <row r="10" spans="1:13" x14ac:dyDescent="0.25">
      <c r="A10" s="353" t="s">
        <v>102</v>
      </c>
      <c r="B10" s="6">
        <f>SUM(B8:B9)</f>
        <v>1095340.2909168922</v>
      </c>
      <c r="C10" s="6">
        <f>SUM(C8:C9)</f>
        <v>46467.022425844618</v>
      </c>
      <c r="D10" s="6">
        <f>SUM(D8:D9)</f>
        <v>408850.80005781038</v>
      </c>
      <c r="E10" s="6">
        <f>SUM(E8:E9)</f>
        <v>640022.46843323729</v>
      </c>
      <c r="F10" s="6"/>
      <c r="G10" s="6">
        <f>SUM(G8:G9)</f>
        <v>0</v>
      </c>
      <c r="H10" s="6">
        <f>SUM(H8:H9)</f>
        <v>102283.4627897855</v>
      </c>
      <c r="I10" s="6">
        <f>SUM(I8:I9)</f>
        <v>102283.4627897855</v>
      </c>
      <c r="J10" s="6"/>
      <c r="K10" s="6">
        <f>SUM(K8:K9)</f>
        <v>1095340.2909168922</v>
      </c>
      <c r="L10" s="6">
        <f>SUM(L8:L9)</f>
        <v>102283.4627897855</v>
      </c>
      <c r="M10" s="6">
        <f>SUM(M8:M9)</f>
        <v>1197623.7537066776</v>
      </c>
    </row>
    <row r="11" spans="1:13" x14ac:dyDescent="0.25">
      <c r="B11" s="6"/>
      <c r="C11" s="6"/>
      <c r="D11" s="6"/>
      <c r="E11" s="6"/>
      <c r="F11" s="6"/>
      <c r="G11" s="6"/>
      <c r="H11" s="6"/>
      <c r="I11" s="6"/>
      <c r="J11" s="6"/>
      <c r="K11" s="6"/>
    </row>
    <row r="12" spans="1:13" x14ac:dyDescent="0.25">
      <c r="A12" s="16" t="s">
        <v>276</v>
      </c>
      <c r="B12" s="6">
        <v>0</v>
      </c>
      <c r="C12" s="6">
        <v>0</v>
      </c>
      <c r="D12" s="6">
        <v>0</v>
      </c>
      <c r="E12" s="6">
        <v>0</v>
      </c>
      <c r="F12" s="6"/>
      <c r="G12" s="6">
        <v>36668.552573314963</v>
      </c>
      <c r="H12" s="6">
        <v>3060.9284964653584</v>
      </c>
      <c r="I12" s="6">
        <f>SUM(G12:H12)</f>
        <v>39729.481069780319</v>
      </c>
      <c r="J12" s="6"/>
      <c r="K12" s="6">
        <f>B12+G12</f>
        <v>36668.552573314963</v>
      </c>
      <c r="L12" s="6">
        <f>H12</f>
        <v>3060.9284964653584</v>
      </c>
      <c r="M12" s="6">
        <f>SUM(K12:L12)</f>
        <v>39729.481069780319</v>
      </c>
    </row>
    <row r="13" spans="1:13" x14ac:dyDescent="0.25">
      <c r="B13" s="6"/>
      <c r="C13" s="6"/>
      <c r="D13" s="6"/>
      <c r="E13" s="6"/>
      <c r="F13" s="6"/>
      <c r="G13" s="6"/>
      <c r="H13" s="6"/>
      <c r="I13" s="6"/>
      <c r="J13" s="6"/>
      <c r="K13" s="6"/>
    </row>
    <row r="14" spans="1:13" x14ac:dyDescent="0.25">
      <c r="A14" s="16" t="s">
        <v>466</v>
      </c>
      <c r="B14" s="6"/>
      <c r="C14" s="6"/>
      <c r="D14" s="6"/>
      <c r="E14" s="6"/>
      <c r="F14" s="6"/>
      <c r="G14" s="6"/>
      <c r="H14" s="6"/>
      <c r="I14" s="6"/>
      <c r="J14" s="6"/>
      <c r="K14" s="6"/>
    </row>
    <row r="15" spans="1:13" x14ac:dyDescent="0.25">
      <c r="A15" s="353" t="s">
        <v>408</v>
      </c>
      <c r="B15" s="6">
        <v>383386.32454093278</v>
      </c>
      <c r="C15" s="6">
        <v>5750.7948681139915</v>
      </c>
      <c r="D15" s="6">
        <v>150793.21730952579</v>
      </c>
      <c r="E15" s="6">
        <v>226842.31236329299</v>
      </c>
      <c r="F15" s="6"/>
      <c r="G15" s="6">
        <v>0</v>
      </c>
      <c r="H15" s="6">
        <v>41869.315940070679</v>
      </c>
      <c r="I15" s="6">
        <f>SUM(G15:H15)</f>
        <v>41869.315940070679</v>
      </c>
      <c r="J15" s="6"/>
      <c r="K15" s="6">
        <f>B15+G15</f>
        <v>383386.32454093278</v>
      </c>
      <c r="L15" s="6">
        <f>H15</f>
        <v>41869.315940070679</v>
      </c>
      <c r="M15" s="6">
        <f>SUM(K15:L15)</f>
        <v>425255.64048100344</v>
      </c>
    </row>
    <row r="16" spans="1:13" x14ac:dyDescent="0.25">
      <c r="A16" s="353" t="s">
        <v>407</v>
      </c>
      <c r="B16" s="6">
        <v>925079.4508561187</v>
      </c>
      <c r="C16" s="6">
        <v>46253.972542805932</v>
      </c>
      <c r="D16" s="6">
        <v>351293.50552863604</v>
      </c>
      <c r="E16" s="6">
        <v>527531.97278467671</v>
      </c>
      <c r="F16" s="6"/>
      <c r="G16" s="6">
        <v>16514.301846295202</v>
      </c>
      <c r="H16" s="6">
        <v>30834.901290561083</v>
      </c>
      <c r="I16" s="6">
        <f>SUM(G16:H16)</f>
        <v>47349.203136856289</v>
      </c>
      <c r="J16" s="6"/>
      <c r="K16" s="6">
        <f>B16+G16</f>
        <v>941593.75270241394</v>
      </c>
      <c r="L16" s="6">
        <f>H16</f>
        <v>30834.901290561083</v>
      </c>
      <c r="M16" s="6">
        <f>SUM(K16:L16)</f>
        <v>972428.65399297501</v>
      </c>
    </row>
    <row r="17" spans="1:13" x14ac:dyDescent="0.25">
      <c r="A17" s="353" t="s">
        <v>102</v>
      </c>
      <c r="B17" s="6">
        <f>SUM(B15:B16)</f>
        <v>1308465.7753970516</v>
      </c>
      <c r="C17" s="6">
        <f>SUM(C15:C16)</f>
        <v>52004.767410919922</v>
      </c>
      <c r="D17" s="6">
        <f>SUM(D15:D16)</f>
        <v>502086.72283816186</v>
      </c>
      <c r="E17" s="6">
        <f>SUM(E15:E16)</f>
        <v>754374.28514796973</v>
      </c>
      <c r="F17" s="6"/>
      <c r="G17" s="6">
        <f>SUM(G15:G16)</f>
        <v>16514.301846295202</v>
      </c>
      <c r="H17" s="6">
        <f>SUM(H15:H16)</f>
        <v>72704.217230631766</v>
      </c>
      <c r="I17" s="6">
        <f>SUM(I15:I16)</f>
        <v>89218.519076926968</v>
      </c>
      <c r="J17" s="6"/>
      <c r="K17" s="6">
        <f>SUM(K15:K16)</f>
        <v>1324980.0772433467</v>
      </c>
      <c r="L17" s="6">
        <f>SUM(L15:L16)</f>
        <v>72704.217230631766</v>
      </c>
      <c r="M17" s="6">
        <f>SUM(M15:M16)</f>
        <v>1397684.2944739785</v>
      </c>
    </row>
    <row r="18" spans="1:13" x14ac:dyDescent="0.25">
      <c r="B18" s="6"/>
      <c r="C18" s="6"/>
      <c r="D18" s="6"/>
      <c r="E18" s="6"/>
      <c r="F18" s="6"/>
      <c r="G18" s="6"/>
      <c r="H18" s="6"/>
      <c r="I18" s="6"/>
      <c r="J18" s="6"/>
      <c r="K18" s="6"/>
    </row>
    <row r="19" spans="1:13" x14ac:dyDescent="0.25">
      <c r="A19" s="49" t="s">
        <v>467</v>
      </c>
      <c r="B19" s="6"/>
      <c r="C19" s="6"/>
      <c r="D19" s="6"/>
      <c r="E19" s="6"/>
      <c r="F19" s="6"/>
      <c r="G19" s="6"/>
      <c r="H19" s="6"/>
      <c r="I19" s="6"/>
      <c r="J19" s="6"/>
      <c r="K19" s="6"/>
    </row>
    <row r="20" spans="1:13" x14ac:dyDescent="0.25">
      <c r="A20" s="353" t="s">
        <v>408</v>
      </c>
      <c r="B20" s="6">
        <v>0</v>
      </c>
      <c r="C20" s="6">
        <v>0</v>
      </c>
      <c r="D20" s="6">
        <v>0</v>
      </c>
      <c r="E20" s="6">
        <v>0</v>
      </c>
      <c r="F20" s="6"/>
      <c r="G20" s="6">
        <v>0</v>
      </c>
      <c r="H20" s="6">
        <v>0</v>
      </c>
      <c r="I20" s="6">
        <f>SUM(G20:H20)</f>
        <v>0</v>
      </c>
      <c r="J20" s="6"/>
      <c r="K20" s="6">
        <f>B20+G20</f>
        <v>0</v>
      </c>
      <c r="L20" s="6">
        <f>H20</f>
        <v>0</v>
      </c>
      <c r="M20" s="6">
        <f>SUM(K20:L20)</f>
        <v>0</v>
      </c>
    </row>
    <row r="21" spans="1:13" x14ac:dyDescent="0.25">
      <c r="A21" s="353" t="s">
        <v>407</v>
      </c>
      <c r="B21" s="6">
        <v>744003.04968605714</v>
      </c>
      <c r="C21" s="6">
        <v>37200.152484302853</v>
      </c>
      <c r="D21" s="6">
        <v>282721.1588807017</v>
      </c>
      <c r="E21" s="6">
        <v>424081.73832105251</v>
      </c>
      <c r="F21" s="6"/>
      <c r="G21" s="6">
        <v>1824142.1566415115</v>
      </c>
      <c r="H21" s="6">
        <v>351579.39720261103</v>
      </c>
      <c r="I21" s="6">
        <f>SUM(G21:H21)</f>
        <v>2175721.5538441227</v>
      </c>
      <c r="J21" s="6"/>
      <c r="K21" s="6">
        <f>B21+G21</f>
        <v>2568145.2063275687</v>
      </c>
      <c r="L21" s="6">
        <f>H21</f>
        <v>351579.39720261103</v>
      </c>
      <c r="M21" s="6">
        <f>SUM(K21:L21)</f>
        <v>2919724.6035301797</v>
      </c>
    </row>
    <row r="22" spans="1:13" x14ac:dyDescent="0.25">
      <c r="A22" s="353" t="s">
        <v>102</v>
      </c>
      <c r="B22" s="6">
        <f>SUM(B20:B21)</f>
        <v>744003.04968605714</v>
      </c>
      <c r="C22" s="6">
        <f>SUM(C20:C21)</f>
        <v>37200.152484302853</v>
      </c>
      <c r="D22" s="6">
        <f>SUM(D20:D21)</f>
        <v>282721.1588807017</v>
      </c>
      <c r="E22" s="6">
        <f>SUM(E20:E21)</f>
        <v>424081.73832105251</v>
      </c>
      <c r="F22" s="6"/>
      <c r="G22" s="6">
        <f>SUM(G20:G21)</f>
        <v>1824142.1566415115</v>
      </c>
      <c r="H22" s="6">
        <f>SUM(H20:H21)</f>
        <v>351579.39720261103</v>
      </c>
      <c r="I22" s="6">
        <f>SUM(I20:I21)</f>
        <v>2175721.5538441227</v>
      </c>
      <c r="J22" s="6"/>
      <c r="K22" s="6">
        <f>SUM(K20:K21)</f>
        <v>2568145.2063275687</v>
      </c>
      <c r="L22" s="6">
        <f>SUM(L20:L21)</f>
        <v>351579.39720261103</v>
      </c>
      <c r="M22" s="6">
        <f>SUM(M20:M21)</f>
        <v>2919724.6035301797</v>
      </c>
    </row>
    <row r="23" spans="1:13" x14ac:dyDescent="0.25">
      <c r="B23" s="6"/>
      <c r="C23" s="6"/>
      <c r="D23" s="6"/>
      <c r="E23" s="6"/>
      <c r="F23" s="6"/>
      <c r="G23" s="6"/>
      <c r="H23" s="6"/>
      <c r="I23" s="6"/>
      <c r="J23" s="6"/>
      <c r="K23" s="6"/>
    </row>
    <row r="24" spans="1:13" x14ac:dyDescent="0.25">
      <c r="A24" s="16" t="s">
        <v>419</v>
      </c>
      <c r="B24" s="6">
        <f>SUM(B10,B12,B17,B22)</f>
        <v>3147809.1160000009</v>
      </c>
      <c r="C24" s="6">
        <f>SUM(C10,C12,C17,C22)</f>
        <v>135671.94232106738</v>
      </c>
      <c r="D24" s="6">
        <f>SUM(D10,D12,D17,D22)</f>
        <v>1193658.681776674</v>
      </c>
      <c r="E24" s="6">
        <f>SUM(E10,E12,E17,E22)</f>
        <v>1818478.4919022596</v>
      </c>
      <c r="F24" s="6"/>
      <c r="G24" s="6">
        <f>SUM(G10,G12,G17,G22)</f>
        <v>1877325.0110611217</v>
      </c>
      <c r="H24" s="6">
        <f>SUM(H10,H12,H17,H22)</f>
        <v>529628.00571949361</v>
      </c>
      <c r="I24" s="6">
        <f>SUM(I10,I12,I17,I22)</f>
        <v>2406953.0167806153</v>
      </c>
      <c r="J24" s="6"/>
      <c r="K24" s="6">
        <f>SUM(K10,K12,K17,K22)</f>
        <v>5025134.127061123</v>
      </c>
      <c r="L24" s="6">
        <f>SUM(L10,L12,L17,L22)</f>
        <v>529628.00571949361</v>
      </c>
      <c r="M24" s="6">
        <f>SUM(M10,M12,M17,M22)</f>
        <v>5554762.1327806162</v>
      </c>
    </row>
    <row r="25" spans="1:13" hidden="1" x14ac:dyDescent="0.25"/>
    <row r="26" spans="1:13" hidden="1" x14ac:dyDescent="0.25">
      <c r="A26" t="s">
        <v>191</v>
      </c>
      <c r="C26" s="143">
        <f>C8-'Table 3.19-CFS UAA'!B47</f>
        <v>0</v>
      </c>
      <c r="G26" s="143">
        <f>G12-SUM('Table 3.30-UAA MP Cost'!B11:B12)</f>
        <v>0</v>
      </c>
      <c r="H26" s="143">
        <v>0</v>
      </c>
      <c r="I26" s="27"/>
    </row>
    <row r="27" spans="1:13" hidden="1" x14ac:dyDescent="0.25">
      <c r="C27" s="143">
        <f>C9-'Table 3.19-CFS UAA'!B46+'Table 3.19-CFS UAA'!B47</f>
        <v>2.2737367544323206E-11</v>
      </c>
      <c r="G27" s="143">
        <f>G17-SUM('Table 3.30-UAA MP Cost'!B27:B28)</f>
        <v>0</v>
      </c>
      <c r="H27" s="143">
        <v>0</v>
      </c>
    </row>
    <row r="28" spans="1:13" hidden="1" x14ac:dyDescent="0.25">
      <c r="C28" s="143">
        <f>C15-'Table 3.19-CFS UAA'!B60</f>
        <v>0</v>
      </c>
      <c r="G28" s="143">
        <v>0</v>
      </c>
      <c r="H28" s="143">
        <v>0</v>
      </c>
    </row>
    <row r="29" spans="1:13" hidden="1" x14ac:dyDescent="0.25">
      <c r="C29" s="143">
        <f>C16-'Table 3.18-Nixie UAA'!D33</f>
        <v>0</v>
      </c>
      <c r="G29" s="6"/>
      <c r="H29" s="143">
        <v>0</v>
      </c>
    </row>
    <row r="30" spans="1:13" hidden="1" x14ac:dyDescent="0.25">
      <c r="B30" s="143">
        <f>B24-'Table 3.23-CIOSS Summary'!C14</f>
        <v>0</v>
      </c>
      <c r="C30" s="143">
        <f>C21-'Table 3.18-Nixie UAA'!D37</f>
        <v>0</v>
      </c>
      <c r="D30" s="143">
        <f>D24-'Table 3.28-REC Volume'!G40</f>
        <v>0</v>
      </c>
      <c r="E30" s="143">
        <f>E24-'Table 3.28-REC Volume'!H40</f>
        <v>0</v>
      </c>
      <c r="G30" s="143">
        <v>0</v>
      </c>
      <c r="H30" s="143">
        <v>0</v>
      </c>
    </row>
    <row r="31" spans="1:13" x14ac:dyDescent="0.25">
      <c r="A31" s="283"/>
      <c r="B31" s="283"/>
      <c r="C31" s="283"/>
      <c r="D31" s="283"/>
    </row>
    <row r="32" spans="1:13" x14ac:dyDescent="0.25">
      <c r="A32" s="27" t="s">
        <v>235</v>
      </c>
    </row>
    <row r="33" spans="1:1" x14ac:dyDescent="0.25">
      <c r="A33" s="12" t="s">
        <v>669</v>
      </c>
    </row>
    <row r="34" spans="1:1" x14ac:dyDescent="0.25">
      <c r="A34" t="s">
        <v>670</v>
      </c>
    </row>
  </sheetData>
  <phoneticPr fontId="5" type="noConversion"/>
  <printOptions horizontalCentered="1"/>
  <pageMargins left="0.75" right="0.75" top="1" bottom="1" header="0.5" footer="0.5"/>
  <pageSetup scale="88" orientation="landscape"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
    <pageSetUpPr fitToPage="1"/>
  </sheetPr>
  <dimension ref="A1:AA46"/>
  <sheetViews>
    <sheetView zoomScale="70" workbookViewId="0"/>
  </sheetViews>
  <sheetFormatPr defaultRowHeight="13.2" x14ac:dyDescent="0.25"/>
  <cols>
    <col min="1" max="1" width="31.109375" customWidth="1"/>
    <col min="2" max="2" width="10.6640625" customWidth="1"/>
    <col min="3" max="3" width="2.6640625" customWidth="1"/>
    <col min="4" max="4" width="10.109375" customWidth="1"/>
    <col min="5" max="5" width="2.6640625" customWidth="1"/>
    <col min="6" max="6" width="12.5546875" customWidth="1"/>
    <col min="7" max="7" width="2.6640625" customWidth="1"/>
    <col min="8" max="8" width="10.6640625" customWidth="1"/>
    <col min="9" max="9" width="2.6640625" customWidth="1"/>
    <col min="10" max="10" width="10.109375" customWidth="1"/>
    <col min="11" max="11" width="2.6640625" customWidth="1"/>
    <col min="12" max="12" width="12.5546875" customWidth="1"/>
    <col min="13" max="13" width="2.6640625" customWidth="1"/>
    <col min="14" max="14" width="10.6640625" customWidth="1"/>
    <col min="15" max="15" width="2.6640625" customWidth="1"/>
    <col min="16" max="16" width="10.109375" customWidth="1"/>
    <col min="17" max="17" width="2.6640625" customWidth="1"/>
    <col min="18" max="18" width="12.5546875" customWidth="1"/>
  </cols>
  <sheetData>
    <row r="1" spans="1:18" ht="15.6" x14ac:dyDescent="0.3">
      <c r="A1" s="158" t="s">
        <v>766</v>
      </c>
      <c r="B1" s="320"/>
      <c r="C1" s="320"/>
      <c r="D1" s="320"/>
      <c r="E1" s="320"/>
      <c r="F1" s="320"/>
    </row>
    <row r="2" spans="1:18" ht="16.2" thickBot="1" x14ac:dyDescent="0.35">
      <c r="A2" s="158" t="s">
        <v>787</v>
      </c>
      <c r="B2" s="320"/>
      <c r="C2" s="320"/>
      <c r="D2" s="320"/>
      <c r="E2" s="320"/>
      <c r="F2" s="320"/>
    </row>
    <row r="3" spans="1:18" ht="13.8" thickBot="1" x14ac:dyDescent="0.3">
      <c r="A3" s="17"/>
      <c r="B3" s="418" t="s">
        <v>270</v>
      </c>
      <c r="C3" s="419"/>
      <c r="D3" s="419"/>
      <c r="E3" s="420"/>
      <c r="F3" s="421"/>
      <c r="H3" s="418" t="s">
        <v>147</v>
      </c>
      <c r="I3" s="419"/>
      <c r="J3" s="419"/>
      <c r="K3" s="420"/>
      <c r="L3" s="421"/>
      <c r="N3" s="418" t="s">
        <v>344</v>
      </c>
      <c r="O3" s="419"/>
      <c r="P3" s="419"/>
      <c r="Q3" s="420"/>
      <c r="R3" s="421"/>
    </row>
    <row r="4" spans="1:18" x14ac:dyDescent="0.25">
      <c r="B4" s="416" t="s">
        <v>128</v>
      </c>
      <c r="C4" s="23"/>
      <c r="D4" s="4"/>
      <c r="E4" s="4"/>
      <c r="F4" s="417" t="s">
        <v>117</v>
      </c>
      <c r="H4" s="416" t="s">
        <v>128</v>
      </c>
      <c r="I4" s="23"/>
      <c r="J4" s="4"/>
      <c r="K4" s="4"/>
      <c r="L4" s="417" t="s">
        <v>117</v>
      </c>
      <c r="N4" s="416" t="s">
        <v>128</v>
      </c>
      <c r="O4" s="23"/>
      <c r="P4" s="4"/>
      <c r="Q4" s="4"/>
      <c r="R4" s="417" t="s">
        <v>117</v>
      </c>
    </row>
    <row r="5" spans="1:18" x14ac:dyDescent="0.2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x14ac:dyDescent="0.25">
      <c r="A6" s="422" t="s">
        <v>129</v>
      </c>
      <c r="B6" s="269"/>
      <c r="C6" s="269"/>
      <c r="D6" s="270"/>
      <c r="E6" s="270"/>
      <c r="F6" s="271"/>
      <c r="H6" s="269"/>
      <c r="I6" s="269"/>
      <c r="J6" s="270"/>
      <c r="K6" s="270"/>
      <c r="L6" s="271"/>
      <c r="N6" s="269"/>
      <c r="O6" s="269"/>
      <c r="P6" s="270"/>
      <c r="Q6" s="270"/>
      <c r="R6" s="271"/>
    </row>
    <row r="7" spans="1:18" x14ac:dyDescent="0.25">
      <c r="A7" s="415" t="s">
        <v>470</v>
      </c>
      <c r="B7" s="478"/>
      <c r="C7" s="478"/>
      <c r="D7" s="257"/>
      <c r="E7" s="257"/>
      <c r="F7" s="153"/>
      <c r="H7" s="478"/>
      <c r="I7" s="478"/>
      <c r="J7" s="257"/>
      <c r="K7" s="257"/>
      <c r="L7" s="153"/>
      <c r="N7" s="478"/>
      <c r="O7" s="478"/>
      <c r="P7" s="257"/>
      <c r="Q7" s="257"/>
      <c r="R7" s="153"/>
    </row>
    <row r="8" spans="1:18" x14ac:dyDescent="0.2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x14ac:dyDescent="0.25">
      <c r="A9" s="479" t="s">
        <v>473</v>
      </c>
      <c r="B9" s="153">
        <f>SUM('Table 3.19-CFS UAA'!J44,'Table 3.19-CFS UAA'!J13)/SUM('Table 3.19-CFS UAA'!B44,'Table 3.19-CFS UAA'!B13)</f>
        <v>0.50689332646698304</v>
      </c>
      <c r="C9" s="315" t="s">
        <v>236</v>
      </c>
      <c r="D9" s="558">
        <f>('Table 3.42-Vol Flows'!C8+'Table 3.42-Vol Flows'!H8)/('Table 3.42-Vol Flows'!M8)</f>
        <v>0.18438473242010853</v>
      </c>
      <c r="E9" s="315" t="s">
        <v>239</v>
      </c>
      <c r="F9" s="153">
        <f>B9*D9</f>
        <v>9.3463390366153379E-2</v>
      </c>
      <c r="H9" s="153">
        <f>'Table 3.19-CFS UAA'!K44</f>
        <v>0.50689332646698326</v>
      </c>
      <c r="I9" s="315" t="s">
        <v>236</v>
      </c>
      <c r="J9" s="558">
        <f>'Table 3.42-Vol Flows'!C8/'Table 3.42-Vol Flows'!K8</f>
        <v>1.4999999999999998E-2</v>
      </c>
      <c r="K9" s="315" t="s">
        <v>239</v>
      </c>
      <c r="L9" s="153">
        <f>H9*J9</f>
        <v>7.6033998970047477E-3</v>
      </c>
      <c r="N9" s="153">
        <f>'Table 3.19-CFS UAA'!K13</f>
        <v>0.50689332646698293</v>
      </c>
      <c r="O9" s="315" t="s">
        <v>236</v>
      </c>
      <c r="P9" s="558">
        <f>'Table 3.42-Vol Flows'!H8/'Table 3.42-Vol Flows'!L8</f>
        <v>1</v>
      </c>
      <c r="Q9" s="315" t="s">
        <v>239</v>
      </c>
      <c r="R9" s="153">
        <f>N9*P9</f>
        <v>0.50689332646698293</v>
      </c>
    </row>
    <row r="10" spans="1:18" x14ac:dyDescent="0.25">
      <c r="A10" s="415"/>
      <c r="B10" s="153"/>
      <c r="C10" s="315"/>
      <c r="D10" s="558"/>
      <c r="E10" s="315"/>
      <c r="F10" s="153"/>
      <c r="H10" s="153"/>
      <c r="I10" s="315"/>
      <c r="J10" s="558"/>
      <c r="K10" s="315"/>
      <c r="L10" s="153"/>
      <c r="N10" s="153"/>
      <c r="O10" s="315"/>
      <c r="P10" s="558"/>
      <c r="Q10" s="315"/>
      <c r="R10" s="153"/>
    </row>
    <row r="11" spans="1:18" x14ac:dyDescent="0.25">
      <c r="A11" s="415" t="s">
        <v>459</v>
      </c>
      <c r="B11" s="153"/>
      <c r="C11" s="315"/>
      <c r="D11" s="558"/>
      <c r="E11" s="315"/>
      <c r="F11" s="153"/>
      <c r="H11" s="477"/>
      <c r="I11" s="315"/>
      <c r="J11" s="558"/>
      <c r="K11" s="315"/>
      <c r="L11" s="153"/>
      <c r="N11" s="153"/>
      <c r="O11" s="315"/>
      <c r="P11" s="558"/>
      <c r="Q11" s="315"/>
      <c r="R11" s="153"/>
    </row>
    <row r="12" spans="1:18" x14ac:dyDescent="0.25">
      <c r="A12" s="474" t="s">
        <v>468</v>
      </c>
      <c r="B12" s="153">
        <f>H12</f>
        <v>0</v>
      </c>
      <c r="C12" s="315"/>
      <c r="D12" s="558">
        <f>'Table 3.42-Vol Flows'!D8/'Table 3.42-Vol Flows'!M8</f>
        <v>0.31792683130264171</v>
      </c>
      <c r="E12" s="315" t="s">
        <v>239</v>
      </c>
      <c r="F12" s="153">
        <f>B12*D12</f>
        <v>0</v>
      </c>
      <c r="H12" s="153">
        <v>0</v>
      </c>
      <c r="I12" s="315"/>
      <c r="J12" s="558">
        <f>'Table 3.42-Vol Flows'!D8/'Table 3.42-Vol Flows'!K8</f>
        <v>0.38395300000000004</v>
      </c>
      <c r="K12" s="315" t="s">
        <v>239</v>
      </c>
      <c r="L12" s="153">
        <f>H12*J12</f>
        <v>0</v>
      </c>
      <c r="N12" s="153">
        <v>0</v>
      </c>
      <c r="O12" s="315"/>
      <c r="P12" s="558">
        <v>0</v>
      </c>
      <c r="Q12" s="315"/>
      <c r="R12" s="153">
        <f>N12*P12</f>
        <v>0</v>
      </c>
    </row>
    <row r="13" spans="1:18" x14ac:dyDescent="0.25">
      <c r="A13" s="474" t="s">
        <v>469</v>
      </c>
      <c r="B13" s="153">
        <f>H13</f>
        <v>8.7708588430479281E-2</v>
      </c>
      <c r="C13" s="315" t="s">
        <v>238</v>
      </c>
      <c r="D13" s="558">
        <f>'Table 3.42-Vol Flows'!E8/'Table 3.42-Vol Flows'!M8</f>
        <v>0.49768843627724985</v>
      </c>
      <c r="E13" s="315" t="s">
        <v>239</v>
      </c>
      <c r="F13" s="153">
        <f>B13*D13</f>
        <v>4.3651550224050123E-2</v>
      </c>
      <c r="H13" s="153">
        <f>'Table 3.27-REC Detail ACS'!L49</f>
        <v>8.7708588430479281E-2</v>
      </c>
      <c r="I13" s="315" t="s">
        <v>238</v>
      </c>
      <c r="J13" s="558">
        <f>'Table 3.42-Vol Flows'!E8/'Table 3.42-Vol Flows'!K8</f>
        <v>0.601047</v>
      </c>
      <c r="K13" s="315" t="s">
        <v>239</v>
      </c>
      <c r="L13" s="153">
        <f>H13*J13</f>
        <v>5.2716983950374281E-2</v>
      </c>
      <c r="N13" s="153">
        <v>0</v>
      </c>
      <c r="O13" s="315"/>
      <c r="P13" s="558">
        <v>0</v>
      </c>
      <c r="Q13" s="315"/>
      <c r="R13" s="153">
        <f>N13*P13</f>
        <v>0</v>
      </c>
    </row>
    <row r="14" spans="1:18" x14ac:dyDescent="0.25">
      <c r="A14" s="474"/>
      <c r="B14" s="153"/>
      <c r="C14" s="315"/>
      <c r="D14" s="558"/>
      <c r="E14" s="315"/>
      <c r="F14" s="153"/>
      <c r="H14" s="153"/>
      <c r="I14" s="315"/>
      <c r="J14" s="558"/>
      <c r="K14" s="315"/>
      <c r="L14" s="153"/>
      <c r="N14" s="153"/>
      <c r="O14" s="315"/>
      <c r="P14" s="558"/>
      <c r="Q14" s="315"/>
      <c r="R14" s="153"/>
    </row>
    <row r="15" spans="1:18" x14ac:dyDescent="0.25">
      <c r="A15" s="257"/>
      <c r="B15" s="153"/>
      <c r="C15" s="153"/>
      <c r="D15" s="558"/>
      <c r="E15" s="272"/>
      <c r="F15" s="153">
        <f>SUM(F8:F13)</f>
        <v>0.13711494059020352</v>
      </c>
      <c r="H15" s="153"/>
      <c r="I15" s="153"/>
      <c r="J15" s="558"/>
      <c r="K15" s="272"/>
      <c r="L15" s="153">
        <f>SUM(L8:L13)</f>
        <v>6.0320383847379026E-2</v>
      </c>
      <c r="N15" s="153"/>
      <c r="O15" s="153"/>
      <c r="P15" s="558"/>
      <c r="Q15" s="272"/>
      <c r="R15" s="153">
        <f>SUM(R8:R13)</f>
        <v>0.50689332646698293</v>
      </c>
    </row>
    <row r="16" spans="1:18" x14ac:dyDescent="0.25">
      <c r="A16" s="423" t="s">
        <v>342</v>
      </c>
      <c r="B16" s="153"/>
      <c r="C16" s="153"/>
      <c r="D16" s="558"/>
      <c r="E16" s="272"/>
      <c r="F16" s="153"/>
      <c r="H16" s="153"/>
      <c r="I16" s="153"/>
      <c r="J16" s="558"/>
      <c r="K16" s="272"/>
      <c r="L16" s="153"/>
      <c r="N16" s="153"/>
      <c r="O16" s="153"/>
      <c r="P16" s="558"/>
      <c r="Q16" s="272"/>
      <c r="R16" s="153"/>
    </row>
    <row r="17" spans="1:27" x14ac:dyDescent="0.25">
      <c r="A17" s="415" t="s">
        <v>767</v>
      </c>
      <c r="B17" s="153">
        <f>N17</f>
        <v>0.37012894509893762</v>
      </c>
      <c r="C17" s="153"/>
      <c r="D17" s="558">
        <f>'Table 3.42-Vol Flows'!H15/'Table 3.42-Vol Flows'!M15</f>
        <v>9.8456815041212883E-2</v>
      </c>
      <c r="E17" s="272"/>
      <c r="F17" s="153">
        <f>B17*D17</f>
        <v>3.6441717089005336E-2</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0.37012894509893762</v>
      </c>
      <c r="O17" s="315" t="s">
        <v>242</v>
      </c>
      <c r="P17" s="558">
        <v>1</v>
      </c>
      <c r="Q17" s="272"/>
      <c r="R17" s="153">
        <f>N17*P17</f>
        <v>0.37012894509893762</v>
      </c>
    </row>
    <row r="18" spans="1:27" x14ac:dyDescent="0.25">
      <c r="A18" s="423"/>
      <c r="B18" s="153"/>
      <c r="C18" s="153"/>
      <c r="D18" s="558"/>
      <c r="E18" s="272"/>
      <c r="F18" s="153"/>
      <c r="H18" s="153"/>
      <c r="I18" s="153"/>
      <c r="J18" s="558"/>
      <c r="K18" s="272"/>
      <c r="L18" s="153"/>
      <c r="N18" s="153"/>
      <c r="O18" s="153"/>
      <c r="P18" s="558"/>
      <c r="Q18" s="272"/>
      <c r="R18" s="153"/>
    </row>
    <row r="19" spans="1:27" x14ac:dyDescent="0.25">
      <c r="A19" s="415" t="s">
        <v>470</v>
      </c>
      <c r="B19" s="153"/>
      <c r="C19" s="153"/>
      <c r="D19" s="558"/>
      <c r="E19" s="272"/>
      <c r="F19" s="153"/>
      <c r="H19" s="153"/>
      <c r="I19" s="153"/>
      <c r="J19" s="558"/>
      <c r="K19" s="272"/>
      <c r="L19" s="153"/>
      <c r="N19" s="153"/>
      <c r="O19" s="153"/>
      <c r="P19" s="558"/>
      <c r="Q19" s="272"/>
      <c r="R19" s="153"/>
    </row>
    <row r="20" spans="1:27" x14ac:dyDescent="0.2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27" x14ac:dyDescent="0.25">
      <c r="A21" s="474" t="s">
        <v>471</v>
      </c>
      <c r="B21" s="153">
        <f>SUM('Table 3.19-CFS UAA'!J26,'Table 3.19-CFS UAA'!J57)/SUM('Table 3.19-CFS UAA'!B26,'Table 3.19-CFS UAA'!B57)</f>
        <v>0.40687037691088773</v>
      </c>
      <c r="C21" s="315" t="s">
        <v>236</v>
      </c>
      <c r="D21" s="558">
        <f>('Table 3.42-Vol Flows'!C15+'Table 3.42-Vol Flows'!H15)/('Table 3.42-Vol Flows'!M15)</f>
        <v>0.11197996281559469</v>
      </c>
      <c r="E21" s="315" t="s">
        <v>239</v>
      </c>
      <c r="F21" s="153">
        <f>B21*D21</f>
        <v>4.5561329677248207E-2</v>
      </c>
      <c r="H21" s="153">
        <f>'Table 3.19-CFS UAA'!K57</f>
        <v>0.40687037691088768</v>
      </c>
      <c r="I21" s="315" t="s">
        <v>236</v>
      </c>
      <c r="J21" s="558">
        <f>'Table 3.42-Vol Flows'!C15/'Table 3.42-Vol Flows'!K15</f>
        <v>1.4999999999999999E-2</v>
      </c>
      <c r="K21" s="315" t="s">
        <v>239</v>
      </c>
      <c r="L21" s="153">
        <f>H21*J21</f>
        <v>6.1030556536633149E-3</v>
      </c>
      <c r="N21" s="153">
        <f>'Table 3.19-CFS UAA'!K26</f>
        <v>0.40687037691088768</v>
      </c>
      <c r="O21" s="315" t="s">
        <v>236</v>
      </c>
      <c r="P21" s="558">
        <f>'Table 3.42-Vol Flows'!H15/'Table 3.42-Vol Flows'!L15</f>
        <v>1</v>
      </c>
      <c r="Q21" s="315" t="s">
        <v>239</v>
      </c>
      <c r="R21" s="153">
        <f>N21*P21</f>
        <v>0.40687037691088768</v>
      </c>
    </row>
    <row r="22" spans="1:27" x14ac:dyDescent="0.25">
      <c r="A22" s="415"/>
      <c r="B22" s="153"/>
      <c r="C22" s="315"/>
      <c r="D22" s="558"/>
      <c r="E22" s="315"/>
      <c r="F22" s="153"/>
      <c r="H22" s="153"/>
      <c r="I22" s="315"/>
      <c r="J22" s="558"/>
      <c r="K22" s="315"/>
      <c r="L22" s="153"/>
      <c r="N22" s="153"/>
      <c r="O22" s="315"/>
      <c r="P22" s="558"/>
      <c r="Q22" s="315"/>
      <c r="R22" s="153"/>
    </row>
    <row r="23" spans="1:27" x14ac:dyDescent="0.25">
      <c r="A23" s="415" t="s">
        <v>459</v>
      </c>
      <c r="B23" s="153"/>
      <c r="C23" s="315"/>
      <c r="D23" s="558"/>
      <c r="E23" s="315"/>
      <c r="F23" s="153"/>
      <c r="H23" s="153"/>
      <c r="I23" s="315"/>
      <c r="J23" s="558"/>
      <c r="K23" s="315"/>
      <c r="L23" s="153"/>
      <c r="N23" s="153"/>
      <c r="O23" s="315"/>
      <c r="P23" s="558"/>
      <c r="Q23" s="315"/>
      <c r="R23" s="153"/>
    </row>
    <row r="24" spans="1:27" x14ac:dyDescent="0.25">
      <c r="A24" s="474" t="s">
        <v>468</v>
      </c>
      <c r="B24" s="153">
        <f>H24</f>
        <v>0</v>
      </c>
      <c r="C24" s="315"/>
      <c r="D24" s="558">
        <f>'Table 3.42-Vol Flows'!D15/'Table 3.42-Vol Flows'!M15</f>
        <v>0.35459427919395664</v>
      </c>
      <c r="E24" s="315" t="s">
        <v>239</v>
      </c>
      <c r="F24" s="153">
        <f>B24*D24</f>
        <v>0</v>
      </c>
      <c r="H24" s="153">
        <v>0</v>
      </c>
      <c r="I24" s="315"/>
      <c r="J24" s="558">
        <f>'Table 3.42-Vol Flows'!D15/'Table 3.42-Vol Flows'!K15</f>
        <v>0.39331923873415608</v>
      </c>
      <c r="K24" s="315" t="s">
        <v>239</v>
      </c>
      <c r="L24" s="153">
        <f>H24*J24</f>
        <v>0</v>
      </c>
      <c r="N24" s="153">
        <v>0</v>
      </c>
      <c r="O24" s="315"/>
      <c r="P24" s="558">
        <v>0</v>
      </c>
      <c r="Q24" s="315"/>
      <c r="R24" s="153">
        <f>N24*P24</f>
        <v>0</v>
      </c>
    </row>
    <row r="25" spans="1:27" x14ac:dyDescent="0.25">
      <c r="A25" s="474" t="s">
        <v>469</v>
      </c>
      <c r="B25" s="153">
        <f>H25</f>
        <v>8.7708588430479337E-2</v>
      </c>
      <c r="C25" s="315" t="s">
        <v>238</v>
      </c>
      <c r="D25" s="558">
        <f>'Table 3.42-Vol Flows'!E15/'Table 3.42-Vol Flows'!M15</f>
        <v>0.53342575799044867</v>
      </c>
      <c r="E25" s="315" t="s">
        <v>239</v>
      </c>
      <c r="F25" s="153">
        <f>B25*D25</f>
        <v>4.6786020265800733E-2</v>
      </c>
      <c r="H25" s="153">
        <f>'Table 3.27-REC Detail ACS'!L50</f>
        <v>8.7708588430479337E-2</v>
      </c>
      <c r="I25" s="315" t="s">
        <v>238</v>
      </c>
      <c r="J25" s="558">
        <f>'Table 3.42-Vol Flows'!E15/'Table 3.42-Vol Flows'!K15</f>
        <v>0.5916807612658439</v>
      </c>
      <c r="K25" s="315" t="s">
        <v>239</v>
      </c>
      <c r="L25" s="153">
        <f>H25*J25</f>
        <v>5.1895484372098601E-2</v>
      </c>
      <c r="N25" s="153">
        <v>0</v>
      </c>
      <c r="O25" s="315"/>
      <c r="P25" s="558">
        <v>0</v>
      </c>
      <c r="Q25" s="315"/>
      <c r="R25" s="153">
        <f>N25*P25</f>
        <v>0</v>
      </c>
    </row>
    <row r="26" spans="1:27" x14ac:dyDescent="0.25">
      <c r="A26" s="474"/>
      <c r="B26" s="153"/>
      <c r="C26" s="315"/>
      <c r="D26" s="558"/>
      <c r="E26" s="315"/>
      <c r="F26" s="153"/>
      <c r="H26" s="153"/>
      <c r="I26" s="315"/>
      <c r="J26" s="558"/>
      <c r="K26" s="315"/>
      <c r="L26" s="153"/>
      <c r="N26" s="153"/>
      <c r="O26" s="315"/>
      <c r="P26" s="558"/>
      <c r="Q26" s="315"/>
      <c r="R26" s="153"/>
    </row>
    <row r="27" spans="1:27" x14ac:dyDescent="0.25">
      <c r="A27" s="273"/>
      <c r="B27" s="266"/>
      <c r="C27" s="266"/>
      <c r="D27" s="559"/>
      <c r="E27" s="274"/>
      <c r="F27" s="266">
        <f>SUM(F17:F25)</f>
        <v>0.12878906703205428</v>
      </c>
      <c r="H27" s="266"/>
      <c r="I27" s="266"/>
      <c r="J27" s="559"/>
      <c r="K27" s="274"/>
      <c r="L27" s="266">
        <f>SUM(L17:L25)</f>
        <v>5.7998540025761915E-2</v>
      </c>
      <c r="N27" s="266"/>
      <c r="O27" s="266"/>
      <c r="P27" s="559"/>
      <c r="Q27" s="274"/>
      <c r="R27" s="266">
        <f>SUM(R17:R25)</f>
        <v>0.77699932200982524</v>
      </c>
    </row>
    <row r="28" spans="1:27" x14ac:dyDescent="0.25">
      <c r="A28" s="151"/>
      <c r="B28" s="275"/>
      <c r="C28" s="275"/>
      <c r="D28" s="560"/>
      <c r="E28" s="276"/>
      <c r="F28" s="275"/>
      <c r="H28" s="275"/>
      <c r="I28" s="275"/>
      <c r="J28" s="560"/>
      <c r="K28" s="276"/>
      <c r="L28" s="275"/>
      <c r="N28" s="275"/>
      <c r="O28" s="275"/>
      <c r="P28" s="560"/>
      <c r="Q28" s="276"/>
      <c r="R28" s="275"/>
    </row>
    <row r="29" spans="1:27" x14ac:dyDescent="0.25">
      <c r="A29" s="270"/>
      <c r="B29" s="271"/>
      <c r="C29" s="271"/>
      <c r="D29" s="561" t="s">
        <v>131</v>
      </c>
      <c r="E29" s="277"/>
      <c r="F29" s="278" t="s">
        <v>211</v>
      </c>
      <c r="H29" s="271"/>
      <c r="I29" s="271"/>
      <c r="J29" s="561" t="s">
        <v>131</v>
      </c>
      <c r="K29" s="277"/>
      <c r="L29" s="278" t="s">
        <v>211</v>
      </c>
      <c r="N29" s="271"/>
      <c r="O29" s="271"/>
      <c r="P29" s="561" t="s">
        <v>131</v>
      </c>
      <c r="Q29" s="277"/>
      <c r="R29" s="278" t="s">
        <v>211</v>
      </c>
    </row>
    <row r="30" spans="1:27" x14ac:dyDescent="0.25">
      <c r="A30" s="257"/>
      <c r="B30" s="153"/>
      <c r="C30" s="153"/>
      <c r="D30" s="562" t="s">
        <v>103</v>
      </c>
      <c r="E30" s="279"/>
      <c r="F30" s="424" t="s">
        <v>104</v>
      </c>
      <c r="H30" s="153"/>
      <c r="I30" s="153"/>
      <c r="J30" s="562" t="s">
        <v>103</v>
      </c>
      <c r="K30" s="279"/>
      <c r="L30" s="424" t="s">
        <v>104</v>
      </c>
      <c r="N30" s="153"/>
      <c r="O30" s="153"/>
      <c r="P30" s="562" t="s">
        <v>103</v>
      </c>
      <c r="Q30" s="279"/>
      <c r="R30" s="424" t="s">
        <v>104</v>
      </c>
    </row>
    <row r="31" spans="1:27" x14ac:dyDescent="0.25">
      <c r="A31" s="322" t="s">
        <v>343</v>
      </c>
      <c r="B31" s="271">
        <f>F15</f>
        <v>0.13711494059020352</v>
      </c>
      <c r="C31" s="153"/>
      <c r="D31" s="558">
        <f>'Table 3.42-Vol Flows'!M8/SUM('Table 3.42-Vol Flows'!M8,'Table 3.42-Vol Flows'!M15)</f>
        <v>0.40243491399391829</v>
      </c>
      <c r="E31" s="315" t="s">
        <v>239</v>
      </c>
      <c r="F31" s="153">
        <f>B31*D31</f>
        <v>5.517983932369977E-2</v>
      </c>
      <c r="H31" s="271">
        <f>L15</f>
        <v>6.0320383847379026E-2</v>
      </c>
      <c r="I31" s="153"/>
      <c r="J31" s="558">
        <f>'Table 3.42-Vol Flows'!K8/SUM('Table 3.42-Vol Flows'!K8,'Table 3.42-Vol Flows'!K15)</f>
        <v>0.38216207237438898</v>
      </c>
      <c r="K31" s="315" t="s">
        <v>239</v>
      </c>
      <c r="L31" s="153">
        <f>H31*J31</f>
        <v>2.3052162897532986E-2</v>
      </c>
      <c r="N31" s="271">
        <f>R15</f>
        <v>0.50689332646698293</v>
      </c>
      <c r="O31" s="153"/>
      <c r="P31" s="558">
        <f>'Table 3.42-Vol Flows'!L8/SUM('Table 3.42-Vol Flows'!L8,'Table 3.42-Vol Flows'!L15)</f>
        <v>0.54049571286606479</v>
      </c>
      <c r="Q31" s="315" t="s">
        <v>239</v>
      </c>
      <c r="R31" s="153">
        <f>N31*P31</f>
        <v>0.27397366983582283</v>
      </c>
    </row>
    <row r="32" spans="1:27" x14ac:dyDescent="0.25">
      <c r="A32" s="321" t="s">
        <v>108</v>
      </c>
      <c r="B32" s="153">
        <f>F27</f>
        <v>0.12878906703205428</v>
      </c>
      <c r="C32" s="153"/>
      <c r="D32" s="558">
        <f>'Table 3.42-Vol Flows'!M15/SUM('Table 3.42-Vol Flows'!M8,'Table 3.42-Vol Flows'!M15)</f>
        <v>0.59756508600608182</v>
      </c>
      <c r="E32" s="315" t="s">
        <v>239</v>
      </c>
      <c r="F32" s="153">
        <f>B32*D32</f>
        <v>7.6959849917652548E-2</v>
      </c>
      <c r="H32" s="153">
        <f>L27</f>
        <v>5.7998540025761915E-2</v>
      </c>
      <c r="I32" s="153"/>
      <c r="J32" s="558">
        <f>'Table 3.42-Vol Flows'!K15/SUM('Table 3.42-Vol Flows'!K8,'Table 3.42-Vol Flows'!K15)</f>
        <v>0.61783792762561107</v>
      </c>
      <c r="K32" s="315" t="s">
        <v>239</v>
      </c>
      <c r="L32" s="153">
        <f>H32*J32</f>
        <v>3.5833697774827797E-2</v>
      </c>
      <c r="N32" s="153">
        <f>R27</f>
        <v>0.77699932200982524</v>
      </c>
      <c r="O32" s="153"/>
      <c r="P32" s="558">
        <f>'Table 3.42-Vol Flows'!L15/SUM('Table 3.42-Vol Flows'!L8,'Table 3.42-Vol Flows'!L15)</f>
        <v>0.45950428713393521</v>
      </c>
      <c r="Q32" s="315" t="s">
        <v>239</v>
      </c>
      <c r="R32" s="153">
        <f>N32*P32</f>
        <v>0.35703451956367571</v>
      </c>
    </row>
    <row r="33" spans="1:18" x14ac:dyDescent="0.25">
      <c r="A33" s="257"/>
      <c r="B33" s="153"/>
      <c r="C33" s="153"/>
      <c r="D33" s="280"/>
      <c r="E33" s="280"/>
      <c r="F33" s="153"/>
      <c r="H33" s="153"/>
      <c r="I33" s="153"/>
      <c r="J33" s="558"/>
      <c r="K33" s="280"/>
      <c r="L33" s="153"/>
      <c r="N33" s="153"/>
      <c r="O33" s="153"/>
      <c r="P33" s="558"/>
      <c r="Q33" s="280"/>
      <c r="R33" s="153"/>
    </row>
    <row r="34" spans="1:18" x14ac:dyDescent="0.25">
      <c r="A34" s="265" t="s">
        <v>132</v>
      </c>
      <c r="B34" s="266"/>
      <c r="C34" s="266"/>
      <c r="D34" s="559">
        <f>D31+D32</f>
        <v>1</v>
      </c>
      <c r="E34" s="281"/>
      <c r="F34" s="268">
        <f>F31+F32</f>
        <v>0.13213968924135233</v>
      </c>
      <c r="G34" s="120"/>
      <c r="H34" s="266"/>
      <c r="I34" s="266"/>
      <c r="J34" s="559">
        <f>J31+J32</f>
        <v>1</v>
      </c>
      <c r="K34" s="281"/>
      <c r="L34" s="268">
        <f>L31+L32</f>
        <v>5.8885860672360783E-2</v>
      </c>
      <c r="N34" s="266"/>
      <c r="O34" s="266"/>
      <c r="P34" s="559">
        <f>P31+P32</f>
        <v>1</v>
      </c>
      <c r="Q34" s="281"/>
      <c r="R34" s="268">
        <f>R31+R32</f>
        <v>0.63100818939949854</v>
      </c>
    </row>
    <row r="35" spans="1:18" hidden="1" x14ac:dyDescent="0.25"/>
    <row r="36" spans="1:18" hidden="1" x14ac:dyDescent="0.25">
      <c r="A36" s="14" t="s">
        <v>188</v>
      </c>
      <c r="B36" s="143">
        <f>B9-H9</f>
        <v>0</v>
      </c>
      <c r="D36" s="143">
        <f>SUM(D8:D13)-1</f>
        <v>0</v>
      </c>
      <c r="F36" s="143">
        <f>F15-'Table 3.1-UAA Summary'!M50</f>
        <v>0</v>
      </c>
      <c r="H36" s="143">
        <f>H9-N9</f>
        <v>0</v>
      </c>
      <c r="J36" s="143">
        <f>SUM(J8:J13)-1</f>
        <v>0</v>
      </c>
      <c r="P36" s="143">
        <f>SUM(P8:P13)-1</f>
        <v>0</v>
      </c>
    </row>
    <row r="37" spans="1:18" hidden="1" x14ac:dyDescent="0.25">
      <c r="B37" s="143">
        <f>B21-H21</f>
        <v>0</v>
      </c>
      <c r="D37" s="143">
        <f>SUM(D20:D25)-1</f>
        <v>0</v>
      </c>
      <c r="E37" s="14"/>
      <c r="F37" s="143">
        <f>F27-SUM('Table 3.1-UAA Summary'!K51:K52)/SUM('Table 3.1-UAA Summary'!L51:L51)</f>
        <v>0</v>
      </c>
      <c r="H37" s="143">
        <f>H21-N21</f>
        <v>0</v>
      </c>
      <c r="J37" s="143">
        <f>SUM(J20:J25)-1</f>
        <v>0</v>
      </c>
      <c r="P37" s="143">
        <f>SUM(P20:P25)-1</f>
        <v>0</v>
      </c>
    </row>
    <row r="38" spans="1:18" hidden="1" x14ac:dyDescent="0.25">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18" x14ac:dyDescent="0.25">
      <c r="A39" s="283"/>
      <c r="B39" s="283"/>
      <c r="C39" s="283"/>
      <c r="D39" s="283"/>
    </row>
    <row r="40" spans="1:18" x14ac:dyDescent="0.25">
      <c r="A40" t="s">
        <v>235</v>
      </c>
      <c r="B40" s="234"/>
      <c r="C40" s="234"/>
    </row>
    <row r="41" spans="1:18" x14ac:dyDescent="0.25">
      <c r="A41" s="12" t="s">
        <v>92</v>
      </c>
    </row>
    <row r="42" spans="1:18" x14ac:dyDescent="0.25">
      <c r="A42" s="12" t="s">
        <v>36</v>
      </c>
    </row>
    <row r="43" spans="1:18" x14ac:dyDescent="0.25">
      <c r="A43" s="12" t="s">
        <v>708</v>
      </c>
    </row>
    <row r="44" spans="1:18" x14ac:dyDescent="0.25">
      <c r="A44" s="12" t="s">
        <v>474</v>
      </c>
    </row>
    <row r="45" spans="1:18" x14ac:dyDescent="0.25">
      <c r="A45" s="12" t="s">
        <v>671</v>
      </c>
    </row>
    <row r="46" spans="1:18" x14ac:dyDescent="0.25">
      <c r="A46" s="12" t="s">
        <v>638</v>
      </c>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2">
    <pageSetUpPr fitToPage="1"/>
  </sheetPr>
  <dimension ref="A1:AA46"/>
  <sheetViews>
    <sheetView zoomScale="70" workbookViewId="0"/>
  </sheetViews>
  <sheetFormatPr defaultRowHeight="13.2" x14ac:dyDescent="0.25"/>
  <cols>
    <col min="1" max="1" width="31.109375" customWidth="1"/>
    <col min="2" max="2" width="10.6640625" customWidth="1"/>
    <col min="3" max="3" width="2.6640625" customWidth="1"/>
    <col min="4" max="4" width="10.109375" customWidth="1"/>
    <col min="5" max="5" width="2.6640625" customWidth="1"/>
    <col min="6" max="6" width="12.5546875" customWidth="1"/>
    <col min="7" max="7" width="2.6640625" customWidth="1"/>
    <col min="8" max="8" width="10.6640625" customWidth="1"/>
    <col min="9" max="9" width="2.6640625" customWidth="1"/>
    <col min="10" max="10" width="10.109375" customWidth="1"/>
    <col min="11" max="11" width="2.6640625" customWidth="1"/>
    <col min="12" max="12" width="12.5546875" customWidth="1"/>
    <col min="13" max="13" width="2.6640625" customWidth="1"/>
    <col min="14" max="14" width="10.6640625" customWidth="1"/>
    <col min="15" max="15" width="2.6640625" customWidth="1"/>
    <col min="16" max="16" width="10.109375" customWidth="1"/>
    <col min="17" max="17" width="2.6640625" customWidth="1"/>
    <col min="18" max="18" width="12.5546875" customWidth="1"/>
  </cols>
  <sheetData>
    <row r="1" spans="1:18" ht="15.6" x14ac:dyDescent="0.3">
      <c r="A1" s="158" t="s">
        <v>773</v>
      </c>
      <c r="B1" s="320"/>
      <c r="C1" s="320"/>
      <c r="D1" s="320"/>
      <c r="E1" s="320"/>
      <c r="F1" s="320"/>
    </row>
    <row r="2" spans="1:18" ht="16.2" thickBot="1" x14ac:dyDescent="0.35">
      <c r="A2" s="158" t="s">
        <v>787</v>
      </c>
      <c r="B2" s="320"/>
      <c r="C2" s="320"/>
      <c r="D2" s="320"/>
      <c r="E2" s="320"/>
      <c r="F2" s="320"/>
    </row>
    <row r="3" spans="1:18" ht="13.8" thickBot="1" x14ac:dyDescent="0.3">
      <c r="A3" s="17"/>
      <c r="B3" s="418" t="s">
        <v>270</v>
      </c>
      <c r="C3" s="419"/>
      <c r="D3" s="419"/>
      <c r="E3" s="420"/>
      <c r="F3" s="421"/>
      <c r="H3" s="418" t="s">
        <v>147</v>
      </c>
      <c r="I3" s="419"/>
      <c r="J3" s="419"/>
      <c r="K3" s="420"/>
      <c r="L3" s="421"/>
      <c r="N3" s="418" t="s">
        <v>344</v>
      </c>
      <c r="O3" s="419"/>
      <c r="P3" s="419"/>
      <c r="Q3" s="420"/>
      <c r="R3" s="421"/>
    </row>
    <row r="4" spans="1:18" x14ac:dyDescent="0.25">
      <c r="B4" s="416" t="s">
        <v>128</v>
      </c>
      <c r="C4" s="23"/>
      <c r="D4" s="4"/>
      <c r="E4" s="4"/>
      <c r="F4" s="417" t="s">
        <v>117</v>
      </c>
      <c r="H4" s="416" t="s">
        <v>128</v>
      </c>
      <c r="I4" s="23"/>
      <c r="J4" s="4"/>
      <c r="K4" s="4"/>
      <c r="L4" s="417" t="s">
        <v>117</v>
      </c>
      <c r="N4" s="416" t="s">
        <v>128</v>
      </c>
      <c r="O4" s="23"/>
      <c r="P4" s="4"/>
      <c r="Q4" s="4"/>
      <c r="R4" s="417" t="s">
        <v>117</v>
      </c>
    </row>
    <row r="5" spans="1:18" x14ac:dyDescent="0.2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x14ac:dyDescent="0.25">
      <c r="A6" s="422" t="s">
        <v>129</v>
      </c>
      <c r="B6" s="269"/>
      <c r="C6" s="269"/>
      <c r="D6" s="270"/>
      <c r="E6" s="270"/>
      <c r="F6" s="271"/>
      <c r="H6" s="269"/>
      <c r="I6" s="269"/>
      <c r="J6" s="270"/>
      <c r="K6" s="270"/>
      <c r="L6" s="271"/>
      <c r="N6" s="269"/>
      <c r="O6" s="269"/>
      <c r="P6" s="270"/>
      <c r="Q6" s="270"/>
      <c r="R6" s="271"/>
    </row>
    <row r="7" spans="1:18" x14ac:dyDescent="0.25">
      <c r="A7" s="415" t="s">
        <v>470</v>
      </c>
      <c r="B7" s="478"/>
      <c r="C7" s="478"/>
      <c r="D7" s="257"/>
      <c r="E7" s="257"/>
      <c r="F7" s="153"/>
      <c r="H7" s="478"/>
      <c r="I7" s="478"/>
      <c r="J7" s="257"/>
      <c r="K7" s="257"/>
      <c r="L7" s="153"/>
      <c r="N7" s="478"/>
      <c r="O7" s="478"/>
      <c r="P7" s="257"/>
      <c r="Q7" s="257"/>
      <c r="R7" s="153"/>
    </row>
    <row r="8" spans="1:18" x14ac:dyDescent="0.2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x14ac:dyDescent="0.25">
      <c r="A9" s="479" t="s">
        <v>473</v>
      </c>
      <c r="B9" s="153">
        <f>SUM('Table 3.19-CFS UAA'!J44,'Table 3.19-CFS UAA'!J13)/SUM('Table 3.19-CFS UAA'!B44,'Table 3.19-CFS UAA'!B13)</f>
        <v>0.50689332646698304</v>
      </c>
      <c r="C9" s="315" t="s">
        <v>236</v>
      </c>
      <c r="D9" s="558">
        <f>('Table 3.42-Vol Flows'!C8+'Table 3.42-Vol Flows'!H8)/('Table 3.42-Vol Flows'!M8)</f>
        <v>0.18438473242010853</v>
      </c>
      <c r="E9" s="315" t="s">
        <v>239</v>
      </c>
      <c r="F9" s="153">
        <f>B9*D9</f>
        <v>9.3463390366153379E-2</v>
      </c>
      <c r="H9" s="153">
        <f>'Table 3.19-CFS UAA'!K44</f>
        <v>0.50689332646698326</v>
      </c>
      <c r="I9" s="315" t="s">
        <v>236</v>
      </c>
      <c r="J9" s="558">
        <f>'Table 3.42-Vol Flows'!C8/'Table 3.42-Vol Flows'!K8</f>
        <v>1.4999999999999998E-2</v>
      </c>
      <c r="K9" s="315" t="s">
        <v>239</v>
      </c>
      <c r="L9" s="153">
        <f>H9*J9</f>
        <v>7.6033998970047477E-3</v>
      </c>
      <c r="N9" s="153">
        <f>'Table 3.19-CFS UAA'!K13</f>
        <v>0.50689332646698293</v>
      </c>
      <c r="O9" s="315" t="s">
        <v>236</v>
      </c>
      <c r="P9" s="558">
        <f>'Table 3.42-Vol Flows'!H8/'Table 3.42-Vol Flows'!L8</f>
        <v>1</v>
      </c>
      <c r="Q9" s="315" t="s">
        <v>239</v>
      </c>
      <c r="R9" s="153">
        <f>N9*P9</f>
        <v>0.50689332646698293</v>
      </c>
    </row>
    <row r="10" spans="1:18" x14ac:dyDescent="0.25">
      <c r="A10" s="415"/>
      <c r="B10" s="153"/>
      <c r="C10" s="315"/>
      <c r="D10" s="558"/>
      <c r="E10" s="315"/>
      <c r="F10" s="153"/>
      <c r="H10" s="153"/>
      <c r="I10" s="315"/>
      <c r="J10" s="558"/>
      <c r="K10" s="315"/>
      <c r="L10" s="153"/>
      <c r="N10" s="153"/>
      <c r="O10" s="315"/>
      <c r="P10" s="558"/>
      <c r="Q10" s="315"/>
      <c r="R10" s="153"/>
    </row>
    <row r="11" spans="1:18" x14ac:dyDescent="0.25">
      <c r="A11" s="415" t="s">
        <v>459</v>
      </c>
      <c r="B11" s="153"/>
      <c r="C11" s="315"/>
      <c r="D11" s="558"/>
      <c r="E11" s="315"/>
      <c r="F11" s="153"/>
      <c r="H11" s="477"/>
      <c r="I11" s="315"/>
      <c r="J11" s="558"/>
      <c r="K11" s="315"/>
      <c r="L11" s="153"/>
      <c r="N11" s="153"/>
      <c r="O11" s="315"/>
      <c r="P11" s="558"/>
      <c r="Q11" s="315"/>
      <c r="R11" s="153"/>
    </row>
    <row r="12" spans="1:18" x14ac:dyDescent="0.25">
      <c r="A12" s="479" t="s">
        <v>475</v>
      </c>
      <c r="B12" s="153">
        <f>H12</f>
        <v>0</v>
      </c>
      <c r="C12" s="315"/>
      <c r="D12" s="558">
        <f>'Table 3.43-Elec Notice'!D12+'Table 3.43-Elec Notice'!D13</f>
        <v>0.81561526757989156</v>
      </c>
      <c r="E12" s="315" t="s">
        <v>239</v>
      </c>
      <c r="F12" s="153">
        <f>B12*D12</f>
        <v>0</v>
      </c>
      <c r="H12" s="153">
        <v>0</v>
      </c>
      <c r="I12" s="315"/>
      <c r="J12" s="558">
        <f>'Table 3.43-Elec Notice'!J12+'Table 3.43-Elec Notice'!J13</f>
        <v>0.9850000000000001</v>
      </c>
      <c r="K12" s="315" t="s">
        <v>239</v>
      </c>
      <c r="L12" s="153">
        <f>H12*J12</f>
        <v>0</v>
      </c>
      <c r="N12" s="153">
        <v>0</v>
      </c>
      <c r="O12" s="315"/>
      <c r="P12" s="558">
        <v>0</v>
      </c>
      <c r="Q12" s="315"/>
      <c r="R12" s="153">
        <f>N12*P12</f>
        <v>0</v>
      </c>
    </row>
    <row r="13" spans="1:18" x14ac:dyDescent="0.25">
      <c r="A13" s="474" t="s">
        <v>469</v>
      </c>
      <c r="B13" s="153">
        <f>H13</f>
        <v>8.7708588430479281E-2</v>
      </c>
      <c r="C13" s="315" t="s">
        <v>238</v>
      </c>
      <c r="D13" s="563">
        <v>0</v>
      </c>
      <c r="E13" s="315"/>
      <c r="F13" s="153">
        <f>B13*D13</f>
        <v>0</v>
      </c>
      <c r="H13" s="153">
        <f>'Table 3.27-REC Detail ACS'!L49</f>
        <v>8.7708588430479281E-2</v>
      </c>
      <c r="I13" s="315" t="s">
        <v>238</v>
      </c>
      <c r="J13" s="563">
        <v>0</v>
      </c>
      <c r="K13" s="315"/>
      <c r="L13" s="153">
        <f>H13*J13</f>
        <v>0</v>
      </c>
      <c r="N13" s="153">
        <v>0</v>
      </c>
      <c r="O13" s="315"/>
      <c r="P13" s="558">
        <v>0</v>
      </c>
      <c r="Q13" s="315"/>
      <c r="R13" s="153">
        <f>N13*P13</f>
        <v>0</v>
      </c>
    </row>
    <row r="14" spans="1:18" x14ac:dyDescent="0.25">
      <c r="A14" s="474"/>
      <c r="B14" s="153"/>
      <c r="C14" s="315"/>
      <c r="D14" s="558"/>
      <c r="E14" s="315"/>
      <c r="F14" s="153"/>
      <c r="H14" s="153"/>
      <c r="I14" s="315"/>
      <c r="J14" s="558"/>
      <c r="K14" s="315"/>
      <c r="L14" s="153"/>
      <c r="N14" s="153"/>
      <c r="O14" s="315"/>
      <c r="P14" s="558"/>
      <c r="Q14" s="315"/>
      <c r="R14" s="153"/>
    </row>
    <row r="15" spans="1:18" x14ac:dyDescent="0.25">
      <c r="A15" s="257"/>
      <c r="B15" s="153"/>
      <c r="C15" s="153"/>
      <c r="D15" s="558"/>
      <c r="E15" s="272"/>
      <c r="F15" s="153">
        <f>SUM(F8:F13)</f>
        <v>9.3463390366153379E-2</v>
      </c>
      <c r="H15" s="153"/>
      <c r="I15" s="153"/>
      <c r="J15" s="558"/>
      <c r="K15" s="272"/>
      <c r="L15" s="153">
        <f>SUM(L8:L13)</f>
        <v>7.6033998970047477E-3</v>
      </c>
      <c r="N15" s="153"/>
      <c r="O15" s="153"/>
      <c r="P15" s="558"/>
      <c r="Q15" s="272"/>
      <c r="R15" s="153">
        <f>SUM(R8:R13)</f>
        <v>0.50689332646698293</v>
      </c>
    </row>
    <row r="16" spans="1:18" x14ac:dyDescent="0.25">
      <c r="A16" s="423" t="s">
        <v>342</v>
      </c>
      <c r="B16" s="153"/>
      <c r="C16" s="153"/>
      <c r="D16" s="558"/>
      <c r="E16" s="272"/>
      <c r="F16" s="153"/>
      <c r="H16" s="153"/>
      <c r="I16" s="153"/>
      <c r="J16" s="558"/>
      <c r="K16" s="272"/>
      <c r="L16" s="153"/>
      <c r="N16" s="153"/>
      <c r="O16" s="153"/>
      <c r="P16" s="558"/>
      <c r="Q16" s="272"/>
      <c r="R16" s="153"/>
    </row>
    <row r="17" spans="1:27" x14ac:dyDescent="0.25">
      <c r="A17" s="415" t="s">
        <v>767</v>
      </c>
      <c r="B17" s="153">
        <f>N17</f>
        <v>0.37012894509893762</v>
      </c>
      <c r="C17" s="153"/>
      <c r="D17" s="558">
        <f>'Table 3.42-Vol Flows'!H15/'Table 3.42-Vol Flows'!M15</f>
        <v>9.8456815041212883E-2</v>
      </c>
      <c r="E17" s="272"/>
      <c r="F17" s="153">
        <f>B17*D17</f>
        <v>3.6441717089005336E-2</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0.37012894509893762</v>
      </c>
      <c r="O17" s="315" t="s">
        <v>242</v>
      </c>
      <c r="P17" s="558">
        <v>1</v>
      </c>
      <c r="Q17" s="272"/>
      <c r="R17" s="153">
        <f>N17*P17</f>
        <v>0.37012894509893762</v>
      </c>
    </row>
    <row r="18" spans="1:27" x14ac:dyDescent="0.25">
      <c r="A18" s="423"/>
      <c r="B18" s="153"/>
      <c r="C18" s="153"/>
      <c r="D18" s="558"/>
      <c r="E18" s="272"/>
      <c r="F18" s="153"/>
      <c r="H18" s="153"/>
      <c r="I18" s="153"/>
      <c r="J18" s="558"/>
      <c r="K18" s="272"/>
      <c r="L18" s="153"/>
      <c r="N18" s="153"/>
      <c r="O18" s="153"/>
      <c r="P18" s="558"/>
      <c r="Q18" s="272"/>
      <c r="R18" s="153"/>
    </row>
    <row r="19" spans="1:27" x14ac:dyDescent="0.25">
      <c r="A19" s="415" t="s">
        <v>470</v>
      </c>
      <c r="B19" s="153"/>
      <c r="C19" s="153"/>
      <c r="D19" s="558"/>
      <c r="E19" s="272"/>
      <c r="F19" s="153"/>
      <c r="H19" s="153"/>
      <c r="I19" s="153"/>
      <c r="J19" s="558"/>
      <c r="K19" s="272"/>
      <c r="L19" s="153"/>
      <c r="N19" s="153"/>
      <c r="O19" s="153"/>
      <c r="P19" s="558"/>
      <c r="Q19" s="272"/>
      <c r="R19" s="153"/>
    </row>
    <row r="20" spans="1:27" x14ac:dyDescent="0.2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27" x14ac:dyDescent="0.25">
      <c r="A21" s="474" t="s">
        <v>471</v>
      </c>
      <c r="B21" s="153">
        <f>SUM('Table 3.19-CFS UAA'!J26,'Table 3.19-CFS UAA'!J57)/SUM('Table 3.19-CFS UAA'!B26,'Table 3.19-CFS UAA'!B57)</f>
        <v>0.40687037691088773</v>
      </c>
      <c r="C21" s="315" t="s">
        <v>236</v>
      </c>
      <c r="D21" s="558">
        <f>('Table 3.42-Vol Flows'!C15+'Table 3.42-Vol Flows'!H15)/('Table 3.42-Vol Flows'!M15)</f>
        <v>0.11197996281559469</v>
      </c>
      <c r="E21" s="315" t="s">
        <v>239</v>
      </c>
      <c r="F21" s="153">
        <f>B21*D21</f>
        <v>4.5561329677248207E-2</v>
      </c>
      <c r="H21" s="153">
        <f>'Table 3.19-CFS UAA'!K57</f>
        <v>0.40687037691088768</v>
      </c>
      <c r="I21" s="315" t="s">
        <v>236</v>
      </c>
      <c r="J21" s="558">
        <f>'Table 3.42-Vol Flows'!C15/'Table 3.42-Vol Flows'!K15</f>
        <v>1.4999999999999999E-2</v>
      </c>
      <c r="K21" s="315" t="s">
        <v>239</v>
      </c>
      <c r="L21" s="153">
        <f>H21*J21</f>
        <v>6.1030556536633149E-3</v>
      </c>
      <c r="N21" s="153">
        <f>'Table 3.19-CFS UAA'!K26</f>
        <v>0.40687037691088768</v>
      </c>
      <c r="O21" s="315" t="s">
        <v>236</v>
      </c>
      <c r="P21" s="558">
        <f>'Table 3.42-Vol Flows'!H15/'Table 3.42-Vol Flows'!L15</f>
        <v>1</v>
      </c>
      <c r="Q21" s="315" t="s">
        <v>239</v>
      </c>
      <c r="R21" s="153">
        <f>N21*P21</f>
        <v>0.40687037691088768</v>
      </c>
    </row>
    <row r="22" spans="1:27" x14ac:dyDescent="0.25">
      <c r="A22" s="415"/>
      <c r="B22" s="153"/>
      <c r="C22" s="315"/>
      <c r="D22" s="558"/>
      <c r="E22" s="315"/>
      <c r="F22" s="153"/>
      <c r="H22" s="153"/>
      <c r="I22" s="315"/>
      <c r="J22" s="558"/>
      <c r="K22" s="315"/>
      <c r="L22" s="153"/>
      <c r="N22" s="153"/>
      <c r="O22" s="315"/>
      <c r="P22" s="558"/>
      <c r="Q22" s="315"/>
      <c r="R22" s="153"/>
    </row>
    <row r="23" spans="1:27" x14ac:dyDescent="0.25">
      <c r="A23" s="415" t="s">
        <v>459</v>
      </c>
      <c r="B23" s="153"/>
      <c r="C23" s="315"/>
      <c r="D23" s="558"/>
      <c r="E23" s="315"/>
      <c r="F23" s="153"/>
      <c r="H23" s="153"/>
      <c r="I23" s="315"/>
      <c r="J23" s="558"/>
      <c r="K23" s="315"/>
      <c r="L23" s="153"/>
      <c r="N23" s="153"/>
      <c r="O23" s="315"/>
      <c r="P23" s="558"/>
      <c r="Q23" s="315"/>
      <c r="R23" s="153"/>
    </row>
    <row r="24" spans="1:27" x14ac:dyDescent="0.25">
      <c r="A24" s="474" t="s">
        <v>468</v>
      </c>
      <c r="B24" s="153">
        <f>H24</f>
        <v>0</v>
      </c>
      <c r="C24" s="315"/>
      <c r="D24" s="558">
        <f>'Table 3.43-Elec Notice'!D24+'Table 3.43-Elec Notice'!D25</f>
        <v>0.88802003718440536</v>
      </c>
      <c r="E24" s="315" t="s">
        <v>239</v>
      </c>
      <c r="F24" s="153">
        <f>B24*D24</f>
        <v>0</v>
      </c>
      <c r="H24" s="153">
        <v>0</v>
      </c>
      <c r="I24" s="315"/>
      <c r="J24" s="558">
        <f>'Table 3.43-Elec Notice'!J24+'Table 3.43-Elec Notice'!J25</f>
        <v>0.98499999999999999</v>
      </c>
      <c r="K24" s="315" t="s">
        <v>239</v>
      </c>
      <c r="L24" s="153">
        <f>H24*J24</f>
        <v>0</v>
      </c>
      <c r="N24" s="153">
        <v>0</v>
      </c>
      <c r="O24" s="315"/>
      <c r="P24" s="558">
        <v>0</v>
      </c>
      <c r="Q24" s="315"/>
      <c r="R24" s="153">
        <f>N24*P24</f>
        <v>0</v>
      </c>
    </row>
    <row r="25" spans="1:27" x14ac:dyDescent="0.25">
      <c r="A25" s="474" t="s">
        <v>469</v>
      </c>
      <c r="B25" s="153">
        <f>H25</f>
        <v>8.7708588430479337E-2</v>
      </c>
      <c r="C25" s="315" t="s">
        <v>238</v>
      </c>
      <c r="D25" s="563">
        <v>0</v>
      </c>
      <c r="E25" s="315"/>
      <c r="F25" s="153">
        <f>B25*D25</f>
        <v>0</v>
      </c>
      <c r="H25" s="153">
        <f>'Table 3.27-REC Detail ACS'!L50</f>
        <v>8.7708588430479337E-2</v>
      </c>
      <c r="I25" s="315" t="s">
        <v>238</v>
      </c>
      <c r="J25" s="563">
        <v>0</v>
      </c>
      <c r="K25" s="315"/>
      <c r="L25" s="153">
        <f>H25*J25</f>
        <v>0</v>
      </c>
      <c r="N25" s="153">
        <v>0</v>
      </c>
      <c r="O25" s="315"/>
      <c r="P25" s="558">
        <v>0</v>
      </c>
      <c r="Q25" s="315"/>
      <c r="R25" s="153">
        <f>N25*P25</f>
        <v>0</v>
      </c>
    </row>
    <row r="26" spans="1:27" x14ac:dyDescent="0.25">
      <c r="A26" s="474"/>
      <c r="B26" s="153"/>
      <c r="C26" s="315"/>
      <c r="D26" s="558"/>
      <c r="E26" s="315"/>
      <c r="F26" s="153"/>
      <c r="H26" s="153"/>
      <c r="I26" s="315"/>
      <c r="J26" s="558"/>
      <c r="K26" s="315"/>
      <c r="L26" s="153"/>
      <c r="N26" s="153"/>
      <c r="O26" s="315"/>
      <c r="P26" s="558"/>
      <c r="Q26" s="315"/>
      <c r="R26" s="153"/>
    </row>
    <row r="27" spans="1:27" x14ac:dyDescent="0.25">
      <c r="A27" s="273"/>
      <c r="B27" s="266"/>
      <c r="C27" s="266"/>
      <c r="D27" s="559"/>
      <c r="E27" s="274"/>
      <c r="F27" s="266">
        <f>SUM(F17:F25)</f>
        <v>8.2003046766253543E-2</v>
      </c>
      <c r="H27" s="266"/>
      <c r="I27" s="266"/>
      <c r="J27" s="559"/>
      <c r="K27" s="274"/>
      <c r="L27" s="266">
        <f>SUM(L17:L25)</f>
        <v>6.1030556536633149E-3</v>
      </c>
      <c r="N27" s="266"/>
      <c r="O27" s="266"/>
      <c r="P27" s="559"/>
      <c r="Q27" s="274"/>
      <c r="R27" s="266">
        <f>SUM(R17:R25)</f>
        <v>0.77699932200982524</v>
      </c>
    </row>
    <row r="28" spans="1:27" x14ac:dyDescent="0.25">
      <c r="A28" s="151"/>
      <c r="B28" s="275"/>
      <c r="C28" s="275"/>
      <c r="D28" s="560"/>
      <c r="E28" s="276"/>
      <c r="F28" s="275"/>
      <c r="H28" s="275"/>
      <c r="I28" s="275"/>
      <c r="J28" s="560"/>
      <c r="K28" s="276"/>
      <c r="L28" s="275"/>
      <c r="N28" s="275"/>
      <c r="O28" s="275"/>
      <c r="P28" s="560"/>
      <c r="Q28" s="276"/>
      <c r="R28" s="275"/>
    </row>
    <row r="29" spans="1:27" x14ac:dyDescent="0.25">
      <c r="A29" s="270"/>
      <c r="B29" s="271"/>
      <c r="C29" s="271"/>
      <c r="D29" s="561" t="s">
        <v>131</v>
      </c>
      <c r="E29" s="277"/>
      <c r="F29" s="278" t="s">
        <v>211</v>
      </c>
      <c r="H29" s="271"/>
      <c r="I29" s="271"/>
      <c r="J29" s="561" t="s">
        <v>131</v>
      </c>
      <c r="K29" s="277"/>
      <c r="L29" s="278" t="s">
        <v>211</v>
      </c>
      <c r="N29" s="271"/>
      <c r="O29" s="271"/>
      <c r="P29" s="561" t="s">
        <v>131</v>
      </c>
      <c r="Q29" s="277"/>
      <c r="R29" s="278" t="s">
        <v>211</v>
      </c>
    </row>
    <row r="30" spans="1:27" x14ac:dyDescent="0.25">
      <c r="A30" s="257"/>
      <c r="B30" s="153"/>
      <c r="C30" s="153"/>
      <c r="D30" s="562" t="s">
        <v>103</v>
      </c>
      <c r="E30" s="279"/>
      <c r="F30" s="424" t="s">
        <v>104</v>
      </c>
      <c r="H30" s="153"/>
      <c r="I30" s="153"/>
      <c r="J30" s="562" t="s">
        <v>103</v>
      </c>
      <c r="K30" s="279"/>
      <c r="L30" s="424" t="s">
        <v>104</v>
      </c>
      <c r="N30" s="153"/>
      <c r="O30" s="153"/>
      <c r="P30" s="562" t="s">
        <v>103</v>
      </c>
      <c r="Q30" s="279"/>
      <c r="R30" s="424" t="s">
        <v>104</v>
      </c>
    </row>
    <row r="31" spans="1:27" x14ac:dyDescent="0.25">
      <c r="A31" s="322" t="s">
        <v>343</v>
      </c>
      <c r="B31" s="271">
        <f>F15</f>
        <v>9.3463390366153379E-2</v>
      </c>
      <c r="C31" s="153"/>
      <c r="D31" s="558">
        <f>'Table 3.42-Vol Flows'!M8/SUM('Table 3.42-Vol Flows'!M8,'Table 3.42-Vol Flows'!M15)</f>
        <v>0.40243491399391829</v>
      </c>
      <c r="E31" s="315" t="s">
        <v>239</v>
      </c>
      <c r="F31" s="153">
        <f>B31*D31</f>
        <v>3.7612931463582945E-2</v>
      </c>
      <c r="H31" s="271">
        <f>L15</f>
        <v>7.6033998970047477E-3</v>
      </c>
      <c r="I31" s="153"/>
      <c r="J31" s="558">
        <f>'Table 3.42-Vol Flows'!K8/SUM('Table 3.42-Vol Flows'!K8,'Table 3.42-Vol Flows'!K15)</f>
        <v>0.38216207237438898</v>
      </c>
      <c r="K31" s="315" t="s">
        <v>239</v>
      </c>
      <c r="L31" s="153">
        <f>H31*J31</f>
        <v>2.9057310617305503E-3</v>
      </c>
      <c r="N31" s="271">
        <f>R15</f>
        <v>0.50689332646698293</v>
      </c>
      <c r="O31" s="153"/>
      <c r="P31" s="558">
        <f>'Table 3.42-Vol Flows'!L8/SUM('Table 3.42-Vol Flows'!L8,'Table 3.42-Vol Flows'!L15)</f>
        <v>0.54049571286606479</v>
      </c>
      <c r="Q31" s="315" t="s">
        <v>239</v>
      </c>
      <c r="R31" s="153">
        <f>N31*P31</f>
        <v>0.27397366983582283</v>
      </c>
    </row>
    <row r="32" spans="1:27" x14ac:dyDescent="0.25">
      <c r="A32" s="321" t="s">
        <v>108</v>
      </c>
      <c r="B32" s="153">
        <f>F27</f>
        <v>8.2003046766253543E-2</v>
      </c>
      <c r="C32" s="153"/>
      <c r="D32" s="558">
        <f>'Table 3.42-Vol Flows'!M15/SUM('Table 3.42-Vol Flows'!M8,'Table 3.42-Vol Flows'!M15)</f>
        <v>0.59756508600608182</v>
      </c>
      <c r="E32" s="315" t="s">
        <v>239</v>
      </c>
      <c r="F32" s="153">
        <f>B32*D32</f>
        <v>4.9002157693637048E-2</v>
      </c>
      <c r="H32" s="153">
        <f>L27</f>
        <v>6.1030556536633149E-3</v>
      </c>
      <c r="I32" s="153"/>
      <c r="J32" s="558">
        <f>'Table 3.42-Vol Flows'!K15/SUM('Table 3.42-Vol Flows'!K8,'Table 3.42-Vol Flows'!K15)</f>
        <v>0.61783792762561107</v>
      </c>
      <c r="K32" s="315" t="s">
        <v>239</v>
      </c>
      <c r="L32" s="153">
        <f>H32*J32</f>
        <v>3.7706992572431115E-3</v>
      </c>
      <c r="N32" s="153">
        <f>R27</f>
        <v>0.77699932200982524</v>
      </c>
      <c r="O32" s="153"/>
      <c r="P32" s="558">
        <f>'Table 3.42-Vol Flows'!L15/SUM('Table 3.42-Vol Flows'!L8,'Table 3.42-Vol Flows'!L15)</f>
        <v>0.45950428713393521</v>
      </c>
      <c r="Q32" s="315" t="s">
        <v>239</v>
      </c>
      <c r="R32" s="153">
        <f>N32*P32</f>
        <v>0.35703451956367571</v>
      </c>
    </row>
    <row r="33" spans="1:21" x14ac:dyDescent="0.25">
      <c r="A33" s="257"/>
      <c r="B33" s="153"/>
      <c r="C33" s="153"/>
      <c r="D33" s="280"/>
      <c r="E33" s="280"/>
      <c r="F33" s="153"/>
      <c r="H33" s="153"/>
      <c r="I33" s="153"/>
      <c r="J33" s="558"/>
      <c r="K33" s="280"/>
      <c r="L33" s="153"/>
      <c r="N33" s="153"/>
      <c r="O33" s="153"/>
      <c r="P33" s="558"/>
      <c r="Q33" s="280"/>
      <c r="R33" s="153"/>
    </row>
    <row r="34" spans="1:21" x14ac:dyDescent="0.25">
      <c r="A34" s="265" t="s">
        <v>132</v>
      </c>
      <c r="B34" s="266"/>
      <c r="C34" s="266"/>
      <c r="D34" s="559">
        <f>D31+D32</f>
        <v>1</v>
      </c>
      <c r="E34" s="281"/>
      <c r="F34" s="268">
        <f>F31+F32</f>
        <v>8.6615089157219993E-2</v>
      </c>
      <c r="G34" s="120"/>
      <c r="H34" s="266"/>
      <c r="I34" s="266"/>
      <c r="J34" s="559">
        <f>J31+J32</f>
        <v>1</v>
      </c>
      <c r="K34" s="281"/>
      <c r="L34" s="268">
        <f>L31+L32</f>
        <v>6.6764303189736623E-3</v>
      </c>
      <c r="N34" s="266"/>
      <c r="O34" s="266"/>
      <c r="P34" s="559">
        <f>P31+P32</f>
        <v>1</v>
      </c>
      <c r="Q34" s="281"/>
      <c r="R34" s="268">
        <f>R31+R32</f>
        <v>0.63100818939949854</v>
      </c>
    </row>
    <row r="35" spans="1:21" hidden="1" x14ac:dyDescent="0.25"/>
    <row r="36" spans="1:21" hidden="1" x14ac:dyDescent="0.25">
      <c r="A36" s="14" t="s">
        <v>188</v>
      </c>
      <c r="B36" s="143">
        <f>B9-H9</f>
        <v>0</v>
      </c>
      <c r="D36" s="143">
        <f>SUM(D8:D13)-1</f>
        <v>0</v>
      </c>
      <c r="F36" s="240"/>
      <c r="H36" s="143">
        <f>H9-N9</f>
        <v>0</v>
      </c>
      <c r="J36" s="143">
        <f>SUM(J8:J13)-1</f>
        <v>0</v>
      </c>
      <c r="P36" s="143">
        <f>SUM(P8:P13)-1</f>
        <v>0</v>
      </c>
      <c r="Q36" s="27"/>
      <c r="R36" s="27"/>
    </row>
    <row r="37" spans="1:21" hidden="1" x14ac:dyDescent="0.25">
      <c r="B37" s="143">
        <f>B21-H21</f>
        <v>0</v>
      </c>
      <c r="D37" s="143">
        <f>SUM(D20:D25)-1</f>
        <v>0</v>
      </c>
      <c r="E37" s="14"/>
      <c r="F37" s="240"/>
      <c r="H37" s="143">
        <f>H21-N21</f>
        <v>0</v>
      </c>
      <c r="J37" s="143">
        <f>SUM(J20:J25)-1</f>
        <v>0</v>
      </c>
      <c r="P37" s="143">
        <f>SUM(P20:P25)-1</f>
        <v>0</v>
      </c>
      <c r="Q37" s="27"/>
      <c r="R37" s="27"/>
    </row>
    <row r="38" spans="1:21" hidden="1" x14ac:dyDescent="0.25">
      <c r="B38" s="240"/>
      <c r="C38" s="27"/>
      <c r="D38" s="240"/>
      <c r="E38" s="547"/>
      <c r="F38" s="240"/>
      <c r="G38" s="27"/>
      <c r="H38" s="240"/>
      <c r="I38" s="27"/>
      <c r="J38" s="240"/>
      <c r="K38" s="27"/>
      <c r="L38" s="240"/>
      <c r="M38" s="27"/>
      <c r="N38" s="27"/>
      <c r="O38" s="27"/>
      <c r="P38" s="240"/>
      <c r="Q38" s="27"/>
      <c r="R38" s="240"/>
    </row>
    <row r="39" spans="1:21" x14ac:dyDescent="0.25">
      <c r="A39" s="283"/>
      <c r="B39" s="283"/>
      <c r="C39" s="283"/>
      <c r="D39" s="283"/>
    </row>
    <row r="40" spans="1:21" x14ac:dyDescent="0.25">
      <c r="A40" t="s">
        <v>235</v>
      </c>
      <c r="B40" s="234"/>
      <c r="C40" s="234"/>
    </row>
    <row r="41" spans="1:21" x14ac:dyDescent="0.25">
      <c r="A41" s="12" t="s">
        <v>92</v>
      </c>
      <c r="L41" s="27"/>
      <c r="M41" s="27"/>
      <c r="N41" s="27"/>
      <c r="O41" s="27"/>
      <c r="P41" s="27"/>
      <c r="Q41" s="27"/>
      <c r="R41" s="27"/>
      <c r="S41" s="27"/>
      <c r="T41" s="27"/>
      <c r="U41" s="27"/>
    </row>
    <row r="42" spans="1:21" x14ac:dyDescent="0.25">
      <c r="A42" s="12" t="s">
        <v>36</v>
      </c>
    </row>
    <row r="43" spans="1:21" x14ac:dyDescent="0.25">
      <c r="A43" s="12" t="s">
        <v>23</v>
      </c>
    </row>
    <row r="44" spans="1:21" x14ac:dyDescent="0.25">
      <c r="A44" s="12" t="s">
        <v>474</v>
      </c>
    </row>
    <row r="45" spans="1:21" x14ac:dyDescent="0.25">
      <c r="A45" s="12" t="s">
        <v>671</v>
      </c>
    </row>
    <row r="46" spans="1:21" x14ac:dyDescent="0.25">
      <c r="A46" s="12" t="s">
        <v>9</v>
      </c>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1"/>
  <dimension ref="B3:K48"/>
  <sheetViews>
    <sheetView tabSelected="1" zoomScale="55" workbookViewId="0"/>
  </sheetViews>
  <sheetFormatPr defaultRowHeight="13.2" x14ac:dyDescent="0.25"/>
  <cols>
    <col min="3" max="3" width="13.6640625" customWidth="1"/>
  </cols>
  <sheetData>
    <row r="3" spans="2:11" x14ac:dyDescent="0.25">
      <c r="B3" s="246" t="s">
        <v>233</v>
      </c>
      <c r="C3" s="247" t="s">
        <v>234</v>
      </c>
    </row>
    <row r="4" spans="2:11" x14ac:dyDescent="0.25">
      <c r="B4" s="248">
        <v>1</v>
      </c>
      <c r="C4" s="329">
        <f>SUM('Table 3.1-UAA Summary'!E63:N65,'Table 3.1-UAA Summary'!J69:J74,'Table 3.1-UAA Summary'!P69:P76)</f>
        <v>0</v>
      </c>
      <c r="D4" s="12"/>
    </row>
    <row r="5" spans="2:11" x14ac:dyDescent="0.25">
      <c r="B5" s="248">
        <f>B4+1</f>
        <v>2</v>
      </c>
      <c r="C5" s="329">
        <f>SUM('Table 3.2-Total Fwd Summary'!B37:B39,'Table 3.2-Total Fwd Summary'!K37:K44)</f>
        <v>0</v>
      </c>
      <c r="D5" s="12"/>
    </row>
    <row r="6" spans="2:11" x14ac:dyDescent="0.25">
      <c r="B6" s="248">
        <f t="shared" ref="B6:B29" si="0">B5+1</f>
        <v>3</v>
      </c>
      <c r="C6" s="329">
        <f>SUM('Table 3.3-PARS Fwd Summary'!B32:B34,'Table 3.3-PARS Fwd Summary'!K32:K39)</f>
        <v>0</v>
      </c>
      <c r="D6" s="12"/>
      <c r="F6" s="27"/>
      <c r="G6" s="241"/>
      <c r="H6" s="27"/>
      <c r="I6" s="27"/>
      <c r="J6" s="27"/>
      <c r="K6" s="27"/>
    </row>
    <row r="7" spans="2:11" x14ac:dyDescent="0.25">
      <c r="B7" s="248">
        <f t="shared" si="0"/>
        <v>4</v>
      </c>
      <c r="C7" s="329">
        <f>SUM('Table 3.4-NonPARS Fwd Summary'!K27:K32)</f>
        <v>0</v>
      </c>
      <c r="D7" s="12"/>
      <c r="F7" s="27"/>
      <c r="G7" s="241"/>
      <c r="H7" s="27"/>
      <c r="I7" s="27"/>
      <c r="J7" s="27"/>
      <c r="K7" s="27"/>
    </row>
    <row r="8" spans="2:11" x14ac:dyDescent="0.25">
      <c r="B8" s="248">
        <f t="shared" si="0"/>
        <v>5</v>
      </c>
      <c r="C8" s="329">
        <f>SUM('Table 3.5-Total RTS Summary'!B41:B43,'Table 3.5-Total RTS Summary'!K41:K48)</f>
        <v>0</v>
      </c>
      <c r="D8" s="12"/>
      <c r="E8" s="27"/>
      <c r="F8" s="27"/>
      <c r="G8" s="241"/>
      <c r="H8" s="27"/>
      <c r="I8" s="27"/>
      <c r="J8" s="27"/>
      <c r="K8" s="27"/>
    </row>
    <row r="9" spans="2:11" x14ac:dyDescent="0.25">
      <c r="B9" s="248">
        <f t="shared" si="0"/>
        <v>6</v>
      </c>
      <c r="C9" s="329">
        <f>SUM('Table 3.6-PARS RTS Summary'!B71:B77,'Table 3.6-PARS RTS Summary'!K71:K78)</f>
        <v>0</v>
      </c>
      <c r="E9" s="27"/>
      <c r="F9" s="241"/>
    </row>
    <row r="10" spans="2:11" x14ac:dyDescent="0.25">
      <c r="B10" s="248">
        <f t="shared" si="0"/>
        <v>7</v>
      </c>
      <c r="C10" s="329">
        <f>SUM('Table 3.7-NonPARS RTS Summary'!K32:K37)</f>
        <v>0</v>
      </c>
    </row>
    <row r="11" spans="2:11" x14ac:dyDescent="0.25">
      <c r="B11" s="248">
        <f t="shared" si="0"/>
        <v>8</v>
      </c>
      <c r="C11" s="329">
        <f>SUM('Table 3.8-Total Wst Summary'!B21:B23,'Table 3.8-Total Wst Summary'!K21:K26)</f>
        <v>0</v>
      </c>
    </row>
    <row r="12" spans="2:11" x14ac:dyDescent="0.25">
      <c r="B12" s="248">
        <f t="shared" si="0"/>
        <v>9</v>
      </c>
      <c r="C12" s="329">
        <f>SUM('Table 3.9-PARS Wst Summary'!B50:B55,'Table 3.9-PARS Wst Summary'!K50:K55)</f>
        <v>0</v>
      </c>
    </row>
    <row r="13" spans="2:11" x14ac:dyDescent="0.25">
      <c r="B13" s="248">
        <f t="shared" si="0"/>
        <v>10</v>
      </c>
      <c r="C13" s="329">
        <f>SUM('Table 3.10-NonPARS Wst Summary'!K22:K25)</f>
        <v>0</v>
      </c>
      <c r="D13" s="12"/>
    </row>
    <row r="14" spans="2:11" x14ac:dyDescent="0.25">
      <c r="B14" s="248">
        <f t="shared" si="0"/>
        <v>11</v>
      </c>
      <c r="C14" s="329">
        <f>SUM('Table 3.11-Form3547 Costs'!H72:H78,'Table 3.11-Form3547 Costs'!P72:P78)</f>
        <v>0</v>
      </c>
      <c r="D14" s="12"/>
    </row>
    <row r="15" spans="2:11" x14ac:dyDescent="0.25">
      <c r="B15" s="248">
        <f t="shared" si="0"/>
        <v>12</v>
      </c>
      <c r="C15" s="329">
        <f>SUM('Table 3.12-Form3579 Costs'!H14:H15,'Table 3.12-Form3579 Costs'!P14)</f>
        <v>0</v>
      </c>
    </row>
    <row r="16" spans="2:11" x14ac:dyDescent="0.25">
      <c r="B16" s="248">
        <f t="shared" si="0"/>
        <v>13</v>
      </c>
      <c r="C16" s="329">
        <f>SUM('Table 3.13-COA Costs'!D81:H83)</f>
        <v>0</v>
      </c>
    </row>
    <row r="17" spans="2:4" x14ac:dyDescent="0.25">
      <c r="B17" s="248">
        <f t="shared" si="0"/>
        <v>14</v>
      </c>
      <c r="C17" s="329">
        <f>SUM('Table 3.14-Route UAA'!N7:P39,'Table 3.14-Route UAA'!N48:Q111,'Table 3.14-Route UAA'!B114:J118)</f>
        <v>3.9303960086556344E-10</v>
      </c>
    </row>
    <row r="18" spans="2:4" x14ac:dyDescent="0.25">
      <c r="B18" s="248">
        <f t="shared" si="0"/>
        <v>15</v>
      </c>
      <c r="C18" s="329">
        <f>SUM('Table 3.15-Route UAA NoPARS'!B114:J118)</f>
        <v>2.3590018827235326E-12</v>
      </c>
      <c r="D18" s="12"/>
    </row>
    <row r="19" spans="2:4" x14ac:dyDescent="0.25">
      <c r="B19" s="248">
        <f t="shared" si="0"/>
        <v>16</v>
      </c>
      <c r="C19" s="329">
        <f>SUM('Table 3.16-Route UAA PARS'!B114:J118)</f>
        <v>9.8907548817805946E-12</v>
      </c>
    </row>
    <row r="20" spans="2:4" x14ac:dyDescent="0.25">
      <c r="B20" s="248">
        <f t="shared" si="0"/>
        <v>17</v>
      </c>
      <c r="C20" s="329">
        <f>SUM('Table 3.17-No Record Mail'!B29:B31,'Table 3.17-No Record Mail'!J29:J31)</f>
        <v>0</v>
      </c>
    </row>
    <row r="21" spans="2:4" x14ac:dyDescent="0.25">
      <c r="B21" s="248">
        <f t="shared" si="0"/>
        <v>18</v>
      </c>
      <c r="C21" s="329">
        <f>SUM('Table 3.18-Nixie UAA'!B43:D48,'Table 3.18-Nixie UAA'!I43:J43)</f>
        <v>6.1118043959140778E-10</v>
      </c>
    </row>
    <row r="22" spans="2:4" x14ac:dyDescent="0.2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4" x14ac:dyDescent="0.25">
      <c r="B23" s="248">
        <f t="shared" si="0"/>
        <v>20</v>
      </c>
      <c r="C23" s="329">
        <f>SUM('Table 3.20-CFS Non-CIOSS'!F90:F94,'Table 3.20-CFS Non-CIOSS'!B97:B101,'Table 3.20-CFS Non-CIOSS'!F103:F109,'Table 3.20-CFS Non-CIOSS'!B111:B114)</f>
        <v>0</v>
      </c>
    </row>
    <row r="24" spans="2:4" x14ac:dyDescent="0.25">
      <c r="B24" s="248">
        <f t="shared" si="0"/>
        <v>21</v>
      </c>
      <c r="C24" s="329">
        <f>SUM('Table 3.21-CFS CIOSS Rejs'!F90:F94,'Table 3.21-CFS CIOSS Rejs'!B97:B101,'Table 3.21-CFS CIOSS Rejs'!F103:F109,'Table 3.21-CFS CIOSS Rejs'!B111:B114)</f>
        <v>0</v>
      </c>
    </row>
    <row r="25" spans="2:4" x14ac:dyDescent="0.25">
      <c r="B25" s="248">
        <f t="shared" si="0"/>
        <v>22</v>
      </c>
      <c r="C25" s="329"/>
      <c r="D25" s="12"/>
    </row>
    <row r="26" spans="2:4" x14ac:dyDescent="0.25">
      <c r="B26" s="248">
        <f t="shared" si="0"/>
        <v>23</v>
      </c>
      <c r="C26" s="329">
        <f>SUM('Table 3.23-CIOSS Summary'!C16:J16)</f>
        <v>0</v>
      </c>
      <c r="D26" s="12"/>
    </row>
    <row r="27" spans="2:4" x14ac:dyDescent="0.25">
      <c r="B27" s="248">
        <f t="shared" si="0"/>
        <v>24</v>
      </c>
      <c r="C27" s="329">
        <f>SUM('Table 3.24-CIOSS Detail'!E42:F45)</f>
        <v>0</v>
      </c>
    </row>
    <row r="28" spans="2:4" x14ac:dyDescent="0.25">
      <c r="B28" s="248">
        <f t="shared" si="0"/>
        <v>25</v>
      </c>
      <c r="C28" s="329">
        <f>SUM('Table 3.25-REC Summary'!C20:N20)</f>
        <v>0</v>
      </c>
    </row>
    <row r="29" spans="2:4" x14ac:dyDescent="0.25">
      <c r="B29" s="248">
        <f t="shared" si="0"/>
        <v>26</v>
      </c>
      <c r="C29" s="329">
        <f>SUM('Table 3.26-REC Detail NonACS'!E52:F56,'Table 3.26-REC Detail NonACS'!K52:L52)</f>
        <v>0</v>
      </c>
    </row>
    <row r="30" spans="2:4" x14ac:dyDescent="0.25">
      <c r="B30" s="248">
        <f>B29+1</f>
        <v>27</v>
      </c>
      <c r="C30" s="329">
        <f>SUM('Table 3.27-REC Detail ACS'!E52:L56)</f>
        <v>0</v>
      </c>
    </row>
    <row r="31" spans="2:4" x14ac:dyDescent="0.25">
      <c r="B31" s="248">
        <f t="shared" ref="B31:B47" si="1">B30+1</f>
        <v>28</v>
      </c>
      <c r="C31" s="329">
        <f>SUM('Table 3.28-REC Volume'!E49:H52)</f>
        <v>0</v>
      </c>
    </row>
    <row r="32" spans="2:4" x14ac:dyDescent="0.25">
      <c r="B32" s="248">
        <f t="shared" si="1"/>
        <v>29</v>
      </c>
      <c r="C32" s="329"/>
    </row>
    <row r="33" spans="2:3" x14ac:dyDescent="0.25">
      <c r="B33" s="248">
        <f t="shared" si="1"/>
        <v>30</v>
      </c>
      <c r="C33" s="329">
        <f>SUM('Table 3.30-UAA MP Cost'!B36:F37)</f>
        <v>0</v>
      </c>
    </row>
    <row r="34" spans="2:3" x14ac:dyDescent="0.25">
      <c r="B34" s="248">
        <f t="shared" si="1"/>
        <v>31</v>
      </c>
      <c r="C34" s="329">
        <f>SUM('Table 3.31-Rating Post Due'!B29:I29)</f>
        <v>0</v>
      </c>
    </row>
    <row r="35" spans="2:3" x14ac:dyDescent="0.25">
      <c r="B35" s="248">
        <f t="shared" si="1"/>
        <v>32</v>
      </c>
      <c r="C35" s="329">
        <f>SUM('Table 3.32-Accounting Post Due'!C15:F21)</f>
        <v>0</v>
      </c>
    </row>
    <row r="36" spans="2:3" x14ac:dyDescent="0.25">
      <c r="B36" s="248">
        <f t="shared" si="1"/>
        <v>33</v>
      </c>
      <c r="C36" s="329">
        <f>SUM('Table 3.33-Delivery Post Due'!C22:D35)</f>
        <v>0</v>
      </c>
    </row>
    <row r="37" spans="2:3" x14ac:dyDescent="0.25">
      <c r="B37" s="248">
        <f t="shared" si="1"/>
        <v>34</v>
      </c>
      <c r="C37" s="329">
        <f>SUM('Table 3.34-Window Post Due'!C15:D19)</f>
        <v>0</v>
      </c>
    </row>
    <row r="38" spans="2:3" x14ac:dyDescent="0.25">
      <c r="B38" s="248">
        <f t="shared" si="1"/>
        <v>35</v>
      </c>
      <c r="C38" s="329"/>
    </row>
    <row r="39" spans="2:3" x14ac:dyDescent="0.25">
      <c r="B39" s="248">
        <f t="shared" si="1"/>
        <v>36</v>
      </c>
      <c r="C39" s="329">
        <f>'Table 3.36-Process Form 3546'!F19</f>
        <v>0</v>
      </c>
    </row>
    <row r="40" spans="2:3" x14ac:dyDescent="0.25">
      <c r="B40" s="248">
        <f t="shared" si="1"/>
        <v>37</v>
      </c>
      <c r="C40" s="329"/>
    </row>
    <row r="41" spans="2:3" x14ac:dyDescent="0.25">
      <c r="B41" s="248">
        <f t="shared" si="1"/>
        <v>38</v>
      </c>
      <c r="C41" s="329"/>
    </row>
    <row r="42" spans="2:3" x14ac:dyDescent="0.25">
      <c r="B42" s="248">
        <f t="shared" si="1"/>
        <v>39</v>
      </c>
      <c r="C42" s="329"/>
    </row>
    <row r="43" spans="2:3" x14ac:dyDescent="0.25">
      <c r="B43" s="248">
        <f t="shared" si="1"/>
        <v>40</v>
      </c>
      <c r="C43" s="329"/>
    </row>
    <row r="44" spans="2:3" x14ac:dyDescent="0.25">
      <c r="B44" s="248">
        <f t="shared" si="1"/>
        <v>41</v>
      </c>
      <c r="C44" s="329">
        <f>SUM('Table 3.41-Man Notice'!F37:F39)</f>
        <v>0</v>
      </c>
    </row>
    <row r="45" spans="2:3" x14ac:dyDescent="0.25">
      <c r="B45" s="248">
        <f t="shared" si="1"/>
        <v>42</v>
      </c>
      <c r="C45" s="329">
        <f>SUM('Table 3.42-Vol Flows'!B26:M30)</f>
        <v>2.2737367544323206E-11</v>
      </c>
    </row>
    <row r="46" spans="2:3" x14ac:dyDescent="0.25">
      <c r="B46" s="248">
        <f t="shared" si="1"/>
        <v>43</v>
      </c>
      <c r="C46" s="329">
        <f>SUM('Table 3.43-Elec Notice'!B36:R38)</f>
        <v>0</v>
      </c>
    </row>
    <row r="47" spans="2:3" x14ac:dyDescent="0.25">
      <c r="B47" s="249">
        <f t="shared" si="1"/>
        <v>44</v>
      </c>
      <c r="C47" s="330">
        <f>SUM('Table 3.44-One Code ACS'!B36:P37)</f>
        <v>0</v>
      </c>
    </row>
    <row r="48" spans="2:3" x14ac:dyDescent="0.25">
      <c r="C48" s="590">
        <f>SUM(C4:C47)</f>
        <v>1.0392071647657986E-9</v>
      </c>
    </row>
  </sheetData>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R43"/>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8" s="13" customFormat="1" ht="15.6" x14ac:dyDescent="0.3">
      <c r="A1" s="157" t="s">
        <v>548</v>
      </c>
      <c r="B1" s="19"/>
      <c r="C1" s="19"/>
      <c r="D1" s="19"/>
      <c r="E1" s="19"/>
      <c r="F1" s="19"/>
      <c r="G1" s="19"/>
      <c r="H1" s="19"/>
      <c r="I1" s="19"/>
      <c r="J1" s="19"/>
    </row>
    <row r="2" spans="1:18" s="13" customFormat="1" ht="15.6" x14ac:dyDescent="0.3">
      <c r="A2" s="158" t="s">
        <v>787</v>
      </c>
      <c r="B2" s="19"/>
      <c r="C2" s="19"/>
      <c r="D2" s="19"/>
      <c r="E2" s="19"/>
      <c r="F2" s="19"/>
      <c r="G2" s="19"/>
      <c r="H2" s="19"/>
      <c r="I2" s="19"/>
      <c r="J2" s="19"/>
    </row>
    <row r="3" spans="1:18" ht="26.4" x14ac:dyDescent="0.25">
      <c r="B3" s="168" t="s">
        <v>109</v>
      </c>
      <c r="C3" s="168"/>
      <c r="D3" s="169" t="s">
        <v>104</v>
      </c>
      <c r="E3" s="169"/>
      <c r="F3" s="168" t="s">
        <v>110</v>
      </c>
      <c r="G3" s="168"/>
      <c r="H3" s="170" t="s">
        <v>97</v>
      </c>
      <c r="I3" s="170"/>
      <c r="J3" s="171" t="s">
        <v>105</v>
      </c>
    </row>
    <row r="4" spans="1:18" x14ac:dyDescent="0.25">
      <c r="A4" s="333" t="s">
        <v>595</v>
      </c>
    </row>
    <row r="5" spans="1:18" x14ac:dyDescent="0.25">
      <c r="A5" s="353" t="s">
        <v>307</v>
      </c>
      <c r="B5" s="32">
        <f>'Table 3.15-Route UAA NoPARS'!D102</f>
        <v>39729.481069780326</v>
      </c>
      <c r="C5" s="241" t="s">
        <v>240</v>
      </c>
      <c r="D5" s="488">
        <f>F5/B5</f>
        <v>9.9714158567245373E-2</v>
      </c>
      <c r="E5" s="27"/>
      <c r="F5" s="489">
        <f>'Table 3.15-Route UAA NoPARS'!J102</f>
        <v>3961.591775186449</v>
      </c>
      <c r="G5" s="241" t="s">
        <v>240</v>
      </c>
      <c r="H5" s="358">
        <f>B5/$B$24</f>
        <v>0.58615763091839312</v>
      </c>
      <c r="J5" s="22">
        <f>D5*H5</f>
        <v>5.8448214954797538E-2</v>
      </c>
      <c r="N5" s="27"/>
      <c r="O5" s="27"/>
      <c r="P5" s="27"/>
      <c r="Q5" s="27"/>
      <c r="R5" s="27"/>
    </row>
    <row r="6" spans="1:18" x14ac:dyDescent="0.25">
      <c r="A6" s="239" t="s">
        <v>520</v>
      </c>
      <c r="B6" s="32">
        <f>SUM('Table 3.18-Nixie UAA'!D15,'Table 3.18-Nixie UAA'!D24)</f>
        <v>39729.481069780319</v>
      </c>
      <c r="C6" s="241" t="s">
        <v>241</v>
      </c>
      <c r="D6" s="488">
        <f>F6/B6</f>
        <v>0.13157487328658449</v>
      </c>
      <c r="E6" s="27"/>
      <c r="F6" s="489">
        <f>SUM('Table 3.18-Nixie UAA'!I15,'Table 3.18-Nixie UAA'!I24)</f>
        <v>5227.4014374981025</v>
      </c>
      <c r="G6" s="241" t="s">
        <v>241</v>
      </c>
      <c r="H6" s="358">
        <f>B6/$B$24</f>
        <v>0.58615763091839301</v>
      </c>
      <c r="J6" s="22">
        <f>D6*H6</f>
        <v>7.7123616014052113E-2</v>
      </c>
    </row>
    <row r="7" spans="1:18" x14ac:dyDescent="0.25">
      <c r="A7" s="353" t="s">
        <v>98</v>
      </c>
      <c r="B7" s="32">
        <f>SUM('Table 3.31-Rating Post Due'!B12,'Table 3.31-Rating Post Due'!B20)</f>
        <v>248.1360681537586</v>
      </c>
      <c r="C7" s="241" t="s">
        <v>242</v>
      </c>
      <c r="D7" s="488">
        <f>F7/B7</f>
        <v>0.20164902183599206</v>
      </c>
      <c r="E7" s="27"/>
      <c r="F7" s="489">
        <f>SUM('Table 3.31-Rating Post Due'!H12,'Table 3.31-Rating Post Due'!H20)</f>
        <v>50.036395425434485</v>
      </c>
      <c r="G7" s="241" t="s">
        <v>242</v>
      </c>
      <c r="H7" s="358">
        <f>B7/$B$24</f>
        <v>3.6609300181633681E-3</v>
      </c>
      <c r="J7" s="22">
        <f>D7*H7</f>
        <v>7.382229571726638E-4</v>
      </c>
    </row>
    <row r="8" spans="1:18" x14ac:dyDescent="0.25">
      <c r="A8" s="353" t="s">
        <v>102</v>
      </c>
      <c r="B8" s="32">
        <f>B5</f>
        <v>39729.481069780326</v>
      </c>
      <c r="C8" s="27"/>
      <c r="D8" s="488">
        <f>F8/B8</f>
        <v>0.23254845921301315</v>
      </c>
      <c r="E8" s="27"/>
      <c r="F8" s="489">
        <f>SUM(F5:F7)</f>
        <v>9239.0296081099877</v>
      </c>
      <c r="J8" s="22">
        <f>SUM(J5:J7)</f>
        <v>0.1363100539260223</v>
      </c>
    </row>
    <row r="9" spans="1:18" ht="5.0999999999999996" customHeight="1" x14ac:dyDescent="0.25">
      <c r="B9" s="32"/>
      <c r="C9" s="27"/>
      <c r="D9" s="488"/>
      <c r="E9" s="27"/>
      <c r="F9" s="489"/>
      <c r="H9" s="6"/>
      <c r="K9" s="6"/>
    </row>
    <row r="10" spans="1:18" x14ac:dyDescent="0.25">
      <c r="A10" s="15" t="s">
        <v>596</v>
      </c>
      <c r="B10" s="32"/>
      <c r="C10" s="27"/>
      <c r="D10" s="488"/>
      <c r="E10" s="27"/>
      <c r="F10" s="489"/>
      <c r="H10" s="142"/>
    </row>
    <row r="11" spans="1:18" ht="12.75" customHeight="1" x14ac:dyDescent="0.25">
      <c r="A11" s="353" t="s">
        <v>307</v>
      </c>
      <c r="B11" s="32">
        <f>'Table 3.15-Route UAA NoPARS'!D106</f>
        <v>28050.035862434797</v>
      </c>
      <c r="C11" s="241" t="s">
        <v>240</v>
      </c>
      <c r="D11" s="488">
        <f>F11/B11</f>
        <v>8.3781444591953483E-2</v>
      </c>
      <c r="E11" s="27"/>
      <c r="F11" s="489">
        <f>'Table 3.15-Route UAA NoPARS'!J106</f>
        <v>2350.0725254108893</v>
      </c>
      <c r="G11" s="241" t="s">
        <v>240</v>
      </c>
      <c r="H11" s="358">
        <f>B11/$B$24</f>
        <v>0.41384236908160693</v>
      </c>
      <c r="J11" s="22">
        <f>D11*H11</f>
        <v>3.4672311515013411E-2</v>
      </c>
    </row>
    <row r="12" spans="1:18" ht="12.75" customHeight="1" x14ac:dyDescent="0.25">
      <c r="A12" s="239" t="s">
        <v>96</v>
      </c>
      <c r="B12" s="32">
        <f>'Table 3.20-CFS Non-CIOSS'!B9</f>
        <v>28050.035862434801</v>
      </c>
      <c r="C12" s="241" t="s">
        <v>243</v>
      </c>
      <c r="D12" s="488">
        <f>F12/B12</f>
        <v>0.27564836282572275</v>
      </c>
      <c r="E12" s="27"/>
      <c r="F12" s="489">
        <f>'Table 3.20-CFS Non-CIOSS'!H9</f>
        <v>7731.9464626829622</v>
      </c>
      <c r="G12" s="241" t="s">
        <v>243</v>
      </c>
      <c r="H12" s="358">
        <f>B12/$B$24</f>
        <v>0.41384236908160699</v>
      </c>
      <c r="J12" s="22">
        <f>D12*H12</f>
        <v>0.11407497150526347</v>
      </c>
    </row>
    <row r="13" spans="1:18" x14ac:dyDescent="0.25">
      <c r="A13" s="239" t="s">
        <v>310</v>
      </c>
      <c r="B13" s="32">
        <f>'Table 3.20-CFS Non-CIOSS'!B45+'Table 3.20-CFS Non-CIOSS'!B56</f>
        <v>954.19627036717895</v>
      </c>
      <c r="C13" s="241" t="s">
        <v>243</v>
      </c>
      <c r="D13" s="488">
        <f>F13/B13</f>
        <v>0.36466584812229053</v>
      </c>
      <c r="E13" s="490"/>
      <c r="F13" s="32">
        <f>'Table 3.20-CFS Non-CIOSS'!H45+'Table 3.20-CFS Non-CIOSS'!H56</f>
        <v>347.96279220857377</v>
      </c>
      <c r="G13" s="241" t="s">
        <v>243</v>
      </c>
      <c r="H13" s="358">
        <f>B13/$B$24</f>
        <v>1.4077944393163067E-2</v>
      </c>
      <c r="J13" s="22">
        <f>D13*H13</f>
        <v>5.1337455319512542E-3</v>
      </c>
    </row>
    <row r="14" spans="1:18" x14ac:dyDescent="0.25">
      <c r="A14" s="353" t="s">
        <v>102</v>
      </c>
      <c r="B14" s="32">
        <f>B11</f>
        <v>28050.035862434797</v>
      </c>
      <c r="C14" s="490"/>
      <c r="D14" s="488">
        <f>F14/B14</f>
        <v>0.37183488218888444</v>
      </c>
      <c r="E14" s="490"/>
      <c r="F14" s="489">
        <f>SUM(F11:F13)</f>
        <v>10429.981780302427</v>
      </c>
      <c r="H14" s="142"/>
      <c r="J14" s="83">
        <f>SUM(J11:J13)</f>
        <v>0.15388102855222813</v>
      </c>
    </row>
    <row r="15" spans="1:18" ht="5.0999999999999996" customHeight="1" x14ac:dyDescent="0.25">
      <c r="A15" s="100"/>
      <c r="B15" s="324"/>
      <c r="C15" s="18"/>
      <c r="D15" s="18"/>
      <c r="E15" s="18"/>
      <c r="F15" s="489"/>
      <c r="G15" s="18"/>
      <c r="H15" s="142"/>
      <c r="I15" s="18"/>
      <c r="J15" s="18"/>
    </row>
    <row r="16" spans="1:18" ht="12.75" customHeight="1" x14ac:dyDescent="0.25">
      <c r="A16" s="15" t="s">
        <v>579</v>
      </c>
      <c r="B16" s="324"/>
      <c r="C16" s="18"/>
      <c r="D16" s="18"/>
      <c r="E16" s="18"/>
      <c r="F16" s="489"/>
      <c r="G16" s="18"/>
      <c r="H16" s="142"/>
      <c r="I16" s="18"/>
      <c r="J16" s="18"/>
    </row>
    <row r="17" spans="1:11" ht="12.75" customHeight="1" x14ac:dyDescent="0.25">
      <c r="A17" s="353" t="s">
        <v>320</v>
      </c>
      <c r="B17" s="6">
        <f>SUM(B8,B14)</f>
        <v>67779.51693221512</v>
      </c>
      <c r="D17" s="83">
        <f>'Table 3.30-UAA MP Cost'!D16</f>
        <v>0.39066777354201909</v>
      </c>
      <c r="E17" s="12" t="s">
        <v>586</v>
      </c>
      <c r="F17" s="489">
        <f>B17*D17</f>
        <v>26479.272971662063</v>
      </c>
      <c r="G17" s="18"/>
      <c r="H17" s="358">
        <f>B17/$B$24</f>
        <v>1</v>
      </c>
      <c r="I17" s="18"/>
      <c r="J17" s="22">
        <f>D17*H17</f>
        <v>0.39066777354201909</v>
      </c>
    </row>
    <row r="18" spans="1:11" x14ac:dyDescent="0.25">
      <c r="A18" s="353" t="s">
        <v>99</v>
      </c>
      <c r="B18" s="6">
        <f>'Table 3.35-PD Vols'!D6</f>
        <v>1202.3323385209376</v>
      </c>
      <c r="C18" s="12" t="s">
        <v>244</v>
      </c>
      <c r="D18" s="83">
        <f>'Table 3.32-Accounting Post Due'!I7</f>
        <v>2.8560679544268801</v>
      </c>
      <c r="E18" s="12" t="s">
        <v>587</v>
      </c>
      <c r="F18" s="489">
        <f>B18*D18</f>
        <v>3433.9428626207814</v>
      </c>
      <c r="G18" s="18"/>
      <c r="H18" s="358">
        <f>B18/$B$24</f>
        <v>1.7738874411326433E-2</v>
      </c>
      <c r="I18" s="18"/>
      <c r="J18" s="22">
        <f>D18*H18</f>
        <v>5.0663430753792413E-2</v>
      </c>
    </row>
    <row r="19" spans="1:11" x14ac:dyDescent="0.25">
      <c r="A19" s="353" t="s">
        <v>100</v>
      </c>
      <c r="B19" s="6">
        <f>'Table 3.35-PD Vols'!D7</f>
        <v>893.81357942569446</v>
      </c>
      <c r="C19" s="12" t="s">
        <v>244</v>
      </c>
      <c r="D19" s="83">
        <f>'Table 3.33-Delivery Post Due'!I11</f>
        <v>0.86611479302919436</v>
      </c>
      <c r="E19" s="12" t="s">
        <v>590</v>
      </c>
      <c r="F19" s="489">
        <f>B19*D19</f>
        <v>774.14516335096869</v>
      </c>
      <c r="G19" s="18"/>
      <c r="H19" s="358">
        <f>B19/$B$24</f>
        <v>1.3187075091130832E-2</v>
      </c>
      <c r="I19" s="18"/>
      <c r="J19" s="22">
        <f>D19*H19</f>
        <v>1.1421520813215225E-2</v>
      </c>
    </row>
    <row r="20" spans="1:11" x14ac:dyDescent="0.25">
      <c r="A20" s="497" t="s">
        <v>210</v>
      </c>
      <c r="B20" s="6">
        <f>'Table 3.35-PD Vols'!D8</f>
        <v>308.51875909524324</v>
      </c>
      <c r="C20" s="12" t="s">
        <v>244</v>
      </c>
      <c r="D20" s="83">
        <f>'Table 3.34-Window Post Due'!I7</f>
        <v>0.45498126298827479</v>
      </c>
      <c r="E20" s="12" t="s">
        <v>591</v>
      </c>
      <c r="F20" s="489">
        <f>B20*D20</f>
        <v>140.37025466872905</v>
      </c>
      <c r="G20" s="18"/>
      <c r="H20" s="358">
        <f>B20/$B$24</f>
        <v>4.551799320195604E-3</v>
      </c>
      <c r="I20" s="18"/>
      <c r="J20" s="22">
        <f>D20*H20</f>
        <v>2.0709834035717665E-3</v>
      </c>
    </row>
    <row r="21" spans="1:11" x14ac:dyDescent="0.25">
      <c r="A21" s="497" t="s">
        <v>101</v>
      </c>
      <c r="B21" s="6">
        <f>'Table 3.36-Process Form 3546'!B4</f>
        <v>746.97285239239011</v>
      </c>
      <c r="C21" s="12" t="s">
        <v>582</v>
      </c>
      <c r="D21" s="83">
        <f>'Table 3.36-Process Form 3546'!J17</f>
        <v>4.8499696097450862</v>
      </c>
      <c r="E21" s="12" t="s">
        <v>582</v>
      </c>
      <c r="F21" s="489">
        <f>B21*D21</f>
        <v>3622.7956334076939</v>
      </c>
      <c r="G21" s="18"/>
      <c r="H21" s="358">
        <f>B21/$B$24</f>
        <v>1.102062815141368E-2</v>
      </c>
      <c r="I21" s="18"/>
      <c r="J21" s="22">
        <f>D21*H21</f>
        <v>5.3449711614657516E-2</v>
      </c>
    </row>
    <row r="22" spans="1:11" x14ac:dyDescent="0.25">
      <c r="A22" s="100" t="s">
        <v>102</v>
      </c>
      <c r="B22" s="324">
        <f>B17</f>
        <v>67779.51693221512</v>
      </c>
      <c r="C22" s="18"/>
      <c r="D22" s="83">
        <f>F22/B22</f>
        <v>0.50827342012725596</v>
      </c>
      <c r="E22" s="18"/>
      <c r="F22" s="489">
        <f>SUM(F17:F21)</f>
        <v>34450.526885710235</v>
      </c>
      <c r="G22" s="18"/>
      <c r="H22" s="142"/>
      <c r="I22" s="18"/>
      <c r="J22" s="552">
        <f>SUM(J17:J21)</f>
        <v>0.50827342012725607</v>
      </c>
    </row>
    <row r="23" spans="1:11" ht="5.0999999999999996" customHeight="1" x14ac:dyDescent="0.25">
      <c r="A23" s="91"/>
      <c r="B23" s="324"/>
      <c r="C23" s="18"/>
      <c r="D23" s="83"/>
      <c r="E23" s="18"/>
      <c r="F23" s="489"/>
      <c r="G23" s="18"/>
      <c r="H23" s="142"/>
      <c r="I23" s="18"/>
      <c r="J23" s="18"/>
    </row>
    <row r="24" spans="1:11" x14ac:dyDescent="0.25">
      <c r="A24" s="91" t="s">
        <v>494</v>
      </c>
      <c r="B24" s="393">
        <f>SUM(B8,B14)</f>
        <v>67779.51693221512</v>
      </c>
      <c r="C24" s="18"/>
      <c r="D24" s="83"/>
      <c r="E24" s="18"/>
      <c r="F24" s="508">
        <f>SUM(F8,F14,F22)</f>
        <v>54119.538274122649</v>
      </c>
      <c r="G24" s="18"/>
      <c r="H24" s="142"/>
      <c r="I24" s="18"/>
      <c r="J24" s="553">
        <f>SUM(J8,J14,J22)</f>
        <v>0.7984645026055065</v>
      </c>
    </row>
    <row r="25" spans="1:11" hidden="1" x14ac:dyDescent="0.25">
      <c r="A25" s="91"/>
      <c r="B25" s="324"/>
      <c r="C25" s="18"/>
      <c r="D25" s="83"/>
      <c r="E25" s="18"/>
      <c r="F25" s="175"/>
      <c r="G25" s="18"/>
      <c r="H25" s="142"/>
      <c r="I25" s="18"/>
      <c r="J25" s="18"/>
    </row>
    <row r="26" spans="1:11" hidden="1" x14ac:dyDescent="0.25">
      <c r="A26" s="5"/>
      <c r="B26" s="240"/>
      <c r="F26" s="359"/>
      <c r="H26" s="6"/>
      <c r="J26" s="6"/>
    </row>
    <row r="27" spans="1:11" hidden="1" x14ac:dyDescent="0.25">
      <c r="A27" s="23" t="s">
        <v>191</v>
      </c>
      <c r="B27" s="240"/>
      <c r="G27" s="482" t="s">
        <v>311</v>
      </c>
      <c r="H27" s="6">
        <f>SUM('Table 3.15-Route UAA NoPARS'!J102,'Table 3.15-Route UAA NoPARS'!J106)</f>
        <v>6311.6643005973383</v>
      </c>
      <c r="J27" s="6">
        <f>SUM(F5,F11)</f>
        <v>6311.6643005973383</v>
      </c>
      <c r="K27" s="143">
        <f t="shared" ref="K27:K32" si="0">H27-J27</f>
        <v>0</v>
      </c>
    </row>
    <row r="28" spans="1:11" hidden="1" x14ac:dyDescent="0.25">
      <c r="A28" s="5"/>
      <c r="B28" s="240"/>
      <c r="G28" s="46" t="s">
        <v>312</v>
      </c>
      <c r="H28" s="6">
        <f>SUM('Table 3.18-Nixie UAA'!I15,'Table 3.18-Nixie UAA'!I24)+SUM('Table 3.31-Rating Post Due'!H12,'Table 3.31-Rating Post Due'!H20)</f>
        <v>5277.4378329235369</v>
      </c>
      <c r="J28" s="6">
        <f>SUM(F6:F7)</f>
        <v>5277.4378329235369</v>
      </c>
      <c r="K28" s="143">
        <f t="shared" si="0"/>
        <v>0</v>
      </c>
    </row>
    <row r="29" spans="1:11" hidden="1" x14ac:dyDescent="0.25">
      <c r="A29" s="5"/>
      <c r="B29" s="240"/>
      <c r="G29" s="46" t="s">
        <v>313</v>
      </c>
      <c r="H29" s="6">
        <f>SUM('Table 3.20-CFS Non-CIOSS'!H9,'Table 3.20-CFS Non-CIOSS'!H45,'Table 3.20-CFS Non-CIOSS'!H56)</f>
        <v>8079.909254891536</v>
      </c>
      <c r="J29" s="6">
        <f>SUM(F12:F13)</f>
        <v>8079.909254891536</v>
      </c>
      <c r="K29" s="143">
        <f t="shared" si="0"/>
        <v>0</v>
      </c>
    </row>
    <row r="30" spans="1:11" hidden="1" x14ac:dyDescent="0.25">
      <c r="A30" s="5"/>
      <c r="B30" s="240"/>
      <c r="G30" s="67" t="s">
        <v>518</v>
      </c>
      <c r="H30" s="32">
        <f>'Table 3.30-UAA MP Cost'!F16</f>
        <v>26479.272971662063</v>
      </c>
      <c r="J30" s="6">
        <f>F17</f>
        <v>26479.272971662063</v>
      </c>
      <c r="K30" s="143">
        <f t="shared" si="0"/>
        <v>0</v>
      </c>
    </row>
    <row r="31" spans="1:11" hidden="1" x14ac:dyDescent="0.25">
      <c r="A31" s="5"/>
      <c r="G31" s="67" t="s">
        <v>315</v>
      </c>
      <c r="H31" s="32">
        <f>SUM(F18:F21)</f>
        <v>7971.2539140481731</v>
      </c>
      <c r="I31" s="27"/>
      <c r="J31" s="32">
        <f>SUM(F18:F21)</f>
        <v>7971.2539140481731</v>
      </c>
      <c r="K31" s="143">
        <f t="shared" si="0"/>
        <v>0</v>
      </c>
    </row>
    <row r="32" spans="1:11" hidden="1" x14ac:dyDescent="0.25">
      <c r="A32" s="5"/>
      <c r="B32" s="240"/>
      <c r="G32" s="46" t="s">
        <v>314</v>
      </c>
      <c r="H32" s="6">
        <f>SUM(H27:H31)</f>
        <v>54119.538274122649</v>
      </c>
      <c r="J32" s="6">
        <f>SUM(J27:J31)</f>
        <v>54119.538274122649</v>
      </c>
      <c r="K32" s="143">
        <f t="shared" si="0"/>
        <v>0</v>
      </c>
    </row>
    <row r="33" spans="1:10" x14ac:dyDescent="0.25">
      <c r="A33" s="283"/>
      <c r="B33" s="283"/>
      <c r="C33" s="283"/>
      <c r="D33" s="283"/>
      <c r="E33" s="283"/>
      <c r="F33" s="283"/>
      <c r="H33" s="240"/>
    </row>
    <row r="34" spans="1:10" x14ac:dyDescent="0.25">
      <c r="A34" s="284" t="s">
        <v>235</v>
      </c>
    </row>
    <row r="35" spans="1:10" x14ac:dyDescent="0.25">
      <c r="A35" s="241" t="s">
        <v>597</v>
      </c>
      <c r="C35" s="241" t="s">
        <v>684</v>
      </c>
      <c r="D35" s="12"/>
    </row>
    <row r="36" spans="1:10" x14ac:dyDescent="0.25">
      <c r="A36" s="241" t="s">
        <v>598</v>
      </c>
      <c r="C36" s="241" t="s">
        <v>685</v>
      </c>
      <c r="D36" s="12"/>
      <c r="F36" s="6"/>
      <c r="H36" s="234"/>
      <c r="J36" s="6"/>
    </row>
    <row r="37" spans="1:10" x14ac:dyDescent="0.25">
      <c r="A37" s="241" t="s">
        <v>581</v>
      </c>
      <c r="C37" s="241" t="s">
        <v>686</v>
      </c>
      <c r="D37" s="12"/>
      <c r="F37" s="6"/>
      <c r="H37" s="234"/>
      <c r="J37" s="6"/>
    </row>
    <row r="38" spans="1:10" x14ac:dyDescent="0.25">
      <c r="A38" s="241" t="s">
        <v>599</v>
      </c>
      <c r="C38" s="241" t="s">
        <v>687</v>
      </c>
      <c r="F38" s="6"/>
      <c r="H38" s="234"/>
      <c r="J38" s="6"/>
    </row>
    <row r="39" spans="1:10" x14ac:dyDescent="0.25">
      <c r="A39" s="241" t="s">
        <v>600</v>
      </c>
      <c r="C39" s="241" t="s">
        <v>688</v>
      </c>
      <c r="F39" s="6"/>
      <c r="H39" s="234"/>
      <c r="J39" s="6"/>
    </row>
    <row r="40" spans="1:10" x14ac:dyDescent="0.25">
      <c r="A40" s="241" t="s">
        <v>22</v>
      </c>
      <c r="C40" s="241" t="s">
        <v>689</v>
      </c>
      <c r="J40" s="6"/>
    </row>
    <row r="41" spans="1:10" x14ac:dyDescent="0.25">
      <c r="A41" s="241" t="s">
        <v>601</v>
      </c>
    </row>
    <row r="42" spans="1:10" x14ac:dyDescent="0.25">
      <c r="J42" s="6"/>
    </row>
    <row r="43" spans="1:10" x14ac:dyDescent="0.25">
      <c r="J43" s="358"/>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K56"/>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0" s="13" customFormat="1" ht="15.6" x14ac:dyDescent="0.3">
      <c r="A1" s="157" t="s">
        <v>549</v>
      </c>
      <c r="B1" s="19"/>
      <c r="C1" s="19"/>
      <c r="D1" s="19"/>
      <c r="E1" s="19"/>
      <c r="F1" s="19"/>
      <c r="G1" s="19"/>
      <c r="H1" s="19"/>
      <c r="I1" s="19"/>
      <c r="J1" s="19"/>
    </row>
    <row r="2" spans="1:10" s="13" customFormat="1" ht="15.6" x14ac:dyDescent="0.3">
      <c r="A2" s="158" t="s">
        <v>787</v>
      </c>
      <c r="B2" s="19"/>
      <c r="C2" s="19"/>
      <c r="D2" s="19"/>
      <c r="E2" s="19"/>
      <c r="F2" s="19"/>
      <c r="G2" s="19"/>
      <c r="H2" s="19"/>
      <c r="I2" s="19"/>
      <c r="J2" s="19"/>
    </row>
    <row r="3" spans="1:10" ht="26.4" x14ac:dyDescent="0.25">
      <c r="B3" s="168" t="s">
        <v>109</v>
      </c>
      <c r="C3" s="168"/>
      <c r="D3" s="169" t="s">
        <v>104</v>
      </c>
      <c r="E3" s="169"/>
      <c r="F3" s="168" t="s">
        <v>110</v>
      </c>
      <c r="G3" s="168"/>
      <c r="H3" s="170" t="s">
        <v>97</v>
      </c>
      <c r="I3" s="170"/>
      <c r="J3" s="171" t="s">
        <v>105</v>
      </c>
    </row>
    <row r="4" spans="1:10" ht="12.75" customHeight="1" x14ac:dyDescent="0.25">
      <c r="A4" s="333"/>
      <c r="B4" s="27"/>
      <c r="C4" s="27"/>
      <c r="D4" s="27"/>
      <c r="E4" s="27"/>
      <c r="F4" s="27"/>
      <c r="G4" s="27"/>
      <c r="H4" s="27"/>
      <c r="I4" s="27"/>
      <c r="J4" s="27"/>
    </row>
    <row r="5" spans="1:10" ht="12.75" customHeight="1" x14ac:dyDescent="0.25">
      <c r="A5" s="493" t="s">
        <v>574</v>
      </c>
      <c r="B5" s="32"/>
      <c r="C5" s="27"/>
      <c r="D5" s="488"/>
      <c r="E5" s="27"/>
      <c r="F5" s="489"/>
      <c r="G5" s="27"/>
      <c r="H5" s="27"/>
      <c r="I5" s="27"/>
      <c r="J5" s="27"/>
    </row>
    <row r="6" spans="1:10" ht="12.75" customHeight="1" x14ac:dyDescent="0.25">
      <c r="A6" s="239" t="s">
        <v>12</v>
      </c>
      <c r="B6" s="32">
        <f>'Table 3.6-PARS RTS Summary'!B10</f>
        <v>22960.232083355149</v>
      </c>
      <c r="C6" s="27"/>
      <c r="D6" s="488">
        <f t="shared" ref="D6:D12" si="0">F6/B6</f>
        <v>0.12155485824615053</v>
      </c>
      <c r="E6" s="27"/>
      <c r="F6" s="489">
        <f>'Table 3.6-PARS RTS Summary'!F10</f>
        <v>2790.9277561909526</v>
      </c>
      <c r="G6" s="27"/>
      <c r="H6" s="134">
        <f t="shared" ref="H6:H12" si="1">B6/$B$38</f>
        <v>1.7158034938350695E-2</v>
      </c>
      <c r="I6" s="27"/>
      <c r="J6" s="500">
        <f t="shared" ref="J6:J11" si="2">D6*H6</f>
        <v>2.085642504713717E-3</v>
      </c>
    </row>
    <row r="7" spans="1:10" ht="12.75" customHeight="1" x14ac:dyDescent="0.25">
      <c r="A7" s="353" t="s">
        <v>506</v>
      </c>
      <c r="B7" s="32">
        <f>'Table 3.6-PARS RTS Summary'!B18</f>
        <v>222492.94219007934</v>
      </c>
      <c r="C7" s="27"/>
      <c r="D7" s="488">
        <f t="shared" si="0"/>
        <v>0.12774291176929423</v>
      </c>
      <c r="E7" s="27"/>
      <c r="F7" s="489">
        <f>'Table 3.6-PARS RTS Summary'!F18</f>
        <v>28421.896283477985</v>
      </c>
      <c r="G7" s="27"/>
      <c r="H7" s="134">
        <f t="shared" si="1"/>
        <v>0.16626755608456245</v>
      </c>
      <c r="I7" s="27"/>
      <c r="J7" s="500">
        <f t="shared" si="2"/>
        <v>2.123950174700644E-2</v>
      </c>
    </row>
    <row r="8" spans="1:10" ht="12.75" customHeight="1" x14ac:dyDescent="0.25">
      <c r="A8" s="353" t="s">
        <v>507</v>
      </c>
      <c r="B8" s="32">
        <f>'Table 3.6-PARS RTS Summary'!B28</f>
        <v>14201.677161068905</v>
      </c>
      <c r="C8" s="27"/>
      <c r="D8" s="488">
        <f t="shared" si="0"/>
        <v>0.20479015186819963</v>
      </c>
      <c r="E8" s="27"/>
      <c r="F8" s="489">
        <f>'Table 3.6-PARS RTS Summary'!F28</f>
        <v>2908.3636225984433</v>
      </c>
      <c r="G8" s="27"/>
      <c r="H8" s="134">
        <f t="shared" si="1"/>
        <v>1.0612822728801867E-2</v>
      </c>
      <c r="I8" s="27"/>
      <c r="J8" s="500">
        <f t="shared" si="2"/>
        <v>2.1734015783816153E-3</v>
      </c>
    </row>
    <row r="9" spans="1:10" ht="12.75" customHeight="1" x14ac:dyDescent="0.25">
      <c r="A9" s="353" t="s">
        <v>510</v>
      </c>
      <c r="B9" s="32">
        <f>'Table 3.6-PARS RTS Summary'!B38</f>
        <v>902119.21877276327</v>
      </c>
      <c r="C9" s="27"/>
      <c r="D9" s="488">
        <f t="shared" si="0"/>
        <v>4.3641505954419575E-2</v>
      </c>
      <c r="E9" s="27"/>
      <c r="F9" s="489">
        <f>'Table 3.6-PARS RTS Summary'!F38</f>
        <v>39369.841257667882</v>
      </c>
      <c r="G9" s="27"/>
      <c r="H9" s="134">
        <f t="shared" si="1"/>
        <v>0.67414793622586233</v>
      </c>
      <c r="I9" s="27"/>
      <c r="J9" s="500">
        <f t="shared" si="2"/>
        <v>2.942083117296064E-2</v>
      </c>
    </row>
    <row r="10" spans="1:10" ht="12.75" customHeight="1" x14ac:dyDescent="0.25">
      <c r="A10" s="353" t="s">
        <v>508</v>
      </c>
      <c r="B10" s="32">
        <f>'Table 3.6-PARS RTS Summary'!B49</f>
        <v>3808.9880768091007</v>
      </c>
      <c r="C10" s="27"/>
      <c r="D10" s="488">
        <f t="shared" si="0"/>
        <v>8.9571111686910274E-2</v>
      </c>
      <c r="E10" s="27"/>
      <c r="F10" s="494">
        <f>'Table 3.6-PARS RTS Summary'!F49</f>
        <v>341.17529644197754</v>
      </c>
      <c r="G10" s="27"/>
      <c r="H10" s="134">
        <f t="shared" si="1"/>
        <v>2.8464324865875466E-3</v>
      </c>
      <c r="I10" s="27"/>
      <c r="J10" s="500">
        <f t="shared" si="2"/>
        <v>2.5495812216538285E-4</v>
      </c>
    </row>
    <row r="11" spans="1:10" ht="12.75" customHeight="1" x14ac:dyDescent="0.25">
      <c r="A11" s="353" t="s">
        <v>509</v>
      </c>
      <c r="B11" s="32">
        <f>'Table 3.6-PARS RTS Summary'!B59</f>
        <v>88744.736715924359</v>
      </c>
      <c r="C11" s="27"/>
      <c r="D11" s="488">
        <f t="shared" si="0"/>
        <v>0.13590375741710053</v>
      </c>
      <c r="E11" s="27"/>
      <c r="F11" s="494">
        <f>'Table 3.6-PARS RTS Summary'!F59</f>
        <v>12060.743170685439</v>
      </c>
      <c r="G11" s="27"/>
      <c r="H11" s="134">
        <f t="shared" si="1"/>
        <v>6.631837551286876E-2</v>
      </c>
      <c r="I11" s="27"/>
      <c r="J11" s="500">
        <f t="shared" si="2"/>
        <v>9.0129164179970963E-3</v>
      </c>
    </row>
    <row r="12" spans="1:10" ht="12.75" customHeight="1" x14ac:dyDescent="0.25">
      <c r="A12" s="353" t="s">
        <v>102</v>
      </c>
      <c r="B12" s="32">
        <f>SUM(B6:B11)</f>
        <v>1254327.7950000002</v>
      </c>
      <c r="C12" s="27"/>
      <c r="D12" s="488">
        <f t="shared" si="0"/>
        <v>6.8477273428404456E-2</v>
      </c>
      <c r="E12" s="27"/>
      <c r="F12" s="494">
        <f>SUM(F6:F11)</f>
        <v>85892.947387062668</v>
      </c>
      <c r="G12" s="27"/>
      <c r="H12" s="134">
        <f t="shared" si="1"/>
        <v>0.93735115797703372</v>
      </c>
      <c r="I12" s="27"/>
      <c r="J12" s="500">
        <f>SUM(J6:J11)</f>
        <v>6.4187251543224896E-2</v>
      </c>
    </row>
    <row r="13" spans="1:10" ht="5.0999999999999996" customHeight="1" x14ac:dyDescent="0.25">
      <c r="A13" s="353"/>
      <c r="B13" s="32"/>
      <c r="C13" s="27"/>
      <c r="D13" s="27"/>
      <c r="E13" s="27"/>
      <c r="F13" s="494"/>
      <c r="G13" s="27"/>
      <c r="H13" s="486"/>
      <c r="I13" s="27"/>
      <c r="J13" s="500"/>
    </row>
    <row r="14" spans="1:10" ht="12.75" customHeight="1" x14ac:dyDescent="0.25">
      <c r="A14" s="353" t="s">
        <v>517</v>
      </c>
      <c r="B14" s="32"/>
      <c r="C14" s="27"/>
      <c r="D14" s="27"/>
      <c r="E14" s="27"/>
      <c r="F14" s="494"/>
      <c r="G14" s="27"/>
      <c r="H14" s="486"/>
      <c r="I14" s="27"/>
      <c r="J14" s="500"/>
    </row>
    <row r="15" spans="1:10" ht="12.75" customHeight="1" x14ac:dyDescent="0.25">
      <c r="A15" s="501" t="s">
        <v>320</v>
      </c>
      <c r="B15" s="32">
        <f>'Table 3.6-PARS RTS Summary'!B62</f>
        <v>1254327.7950000002</v>
      </c>
      <c r="C15" s="27"/>
      <c r="D15" s="488">
        <f>F15/B15</f>
        <v>0.39323339099444526</v>
      </c>
      <c r="E15" s="27"/>
      <c r="F15" s="494">
        <f>'Table 3.6-PARS RTS Summary'!F62</f>
        <v>493243.57224643545</v>
      </c>
      <c r="G15" s="27"/>
      <c r="H15" s="134">
        <f>B15/$B$38</f>
        <v>0.93735115797703372</v>
      </c>
      <c r="I15" s="27"/>
      <c r="J15" s="500">
        <f>D15*H15</f>
        <v>0.36859777440387892</v>
      </c>
    </row>
    <row r="16" spans="1:10" ht="12.75" customHeight="1" x14ac:dyDescent="0.25">
      <c r="A16" s="501" t="s">
        <v>99</v>
      </c>
      <c r="B16" s="32">
        <f>'Table 3.6-PARS RTS Summary'!B63</f>
        <v>4427.0826310645789</v>
      </c>
      <c r="C16" s="27"/>
      <c r="D16" s="488">
        <f>F16/B16</f>
        <v>2.8560679544268806</v>
      </c>
      <c r="E16" s="27"/>
      <c r="F16" s="494">
        <f>'Table 3.6-PARS RTS Summary'!F63</f>
        <v>12644.048834183384</v>
      </c>
      <c r="G16" s="27"/>
      <c r="H16" s="134">
        <f>B16/$B$38</f>
        <v>3.3083306032362899E-3</v>
      </c>
      <c r="I16" s="27"/>
      <c r="J16" s="500">
        <f>D16*H16</f>
        <v>9.4488170185529179E-3</v>
      </c>
    </row>
    <row r="17" spans="1:10" ht="12.75" customHeight="1" x14ac:dyDescent="0.25">
      <c r="A17" s="501" t="s">
        <v>100</v>
      </c>
      <c r="B17" s="32">
        <f>'Table 3.6-PARS RTS Summary'!B64</f>
        <v>3664.6606454625644</v>
      </c>
      <c r="C17" s="27"/>
      <c r="D17" s="488">
        <f>F17/B17</f>
        <v>0.86611479302919459</v>
      </c>
      <c r="E17" s="27"/>
      <c r="F17" s="494">
        <f>'Table 3.6-PARS RTS Summary'!F64</f>
        <v>3174.0167964670436</v>
      </c>
      <c r="G17" s="27"/>
      <c r="H17" s="134">
        <f>B17/$B$38</f>
        <v>2.7385775180220717E-3</v>
      </c>
      <c r="I17" s="27"/>
      <c r="J17" s="500">
        <f>D17*H17</f>
        <v>2.3719225002160919E-3</v>
      </c>
    </row>
    <row r="18" spans="1:10" ht="12.75" customHeight="1" x14ac:dyDescent="0.25">
      <c r="A18" s="502" t="s">
        <v>210</v>
      </c>
      <c r="B18" s="32">
        <f>'Table 3.6-PARS RTS Summary'!B65</f>
        <v>420.6193148675174</v>
      </c>
      <c r="C18" s="27"/>
      <c r="D18" s="488">
        <f>F18/B18</f>
        <v>0.45498126298827485</v>
      </c>
      <c r="E18" s="27"/>
      <c r="F18" s="494">
        <f>'Table 3.6-PARS RTS Summary'!F65</f>
        <v>191.37390711568591</v>
      </c>
      <c r="G18" s="27"/>
      <c r="H18" s="134">
        <f>B18/$B$38</f>
        <v>3.1432613024299117E-4</v>
      </c>
      <c r="I18" s="27"/>
      <c r="J18" s="500">
        <f>D18*H18</f>
        <v>1.430124997281731E-4</v>
      </c>
    </row>
    <row r="19" spans="1:10" ht="12.75" customHeight="1" x14ac:dyDescent="0.25">
      <c r="A19" s="503" t="s">
        <v>102</v>
      </c>
      <c r="B19" s="32">
        <f>B15</f>
        <v>1254327.7950000002</v>
      </c>
      <c r="C19" s="27"/>
      <c r="D19" s="488">
        <f>F19/B19</f>
        <v>0.40599675285374781</v>
      </c>
      <c r="E19" s="27"/>
      <c r="F19" s="494">
        <f>SUM(F15:F18)</f>
        <v>509253.01178420155</v>
      </c>
      <c r="G19" s="27"/>
      <c r="H19" s="134">
        <f>B19/$B$38</f>
        <v>0.93735115797703372</v>
      </c>
      <c r="I19" s="27"/>
      <c r="J19" s="500">
        <f>SUM(J15:J18)</f>
        <v>0.38056152642237612</v>
      </c>
    </row>
    <row r="20" spans="1:10" ht="5.0999999999999996" customHeight="1" x14ac:dyDescent="0.25">
      <c r="A20" s="353"/>
      <c r="B20" s="32"/>
      <c r="C20" s="27"/>
      <c r="D20" s="27"/>
      <c r="E20" s="27"/>
      <c r="F20" s="494"/>
      <c r="G20" s="27"/>
      <c r="H20" s="486"/>
      <c r="I20" s="27"/>
      <c r="J20" s="500"/>
    </row>
    <row r="21" spans="1:10" ht="12.75" customHeight="1" x14ac:dyDescent="0.25">
      <c r="A21" s="353" t="s">
        <v>504</v>
      </c>
      <c r="B21" s="32">
        <f>B12</f>
        <v>1254327.7950000002</v>
      </c>
      <c r="C21" s="27"/>
      <c r="D21" s="488">
        <f>F21/B21</f>
        <v>0.47447402628215229</v>
      </c>
      <c r="E21" s="27"/>
      <c r="F21" s="494">
        <f>SUM(F12,F19)</f>
        <v>595145.9591712642</v>
      </c>
      <c r="G21" s="27"/>
      <c r="H21" s="134">
        <f>B21/$B$38</f>
        <v>0.93735115797703372</v>
      </c>
      <c r="I21" s="27"/>
      <c r="J21" s="500">
        <f>J12+J19</f>
        <v>0.44474877796560103</v>
      </c>
    </row>
    <row r="22" spans="1:10" ht="12.75" customHeight="1" x14ac:dyDescent="0.25">
      <c r="A22" s="241"/>
      <c r="B22" s="32"/>
      <c r="C22" s="27"/>
      <c r="D22" s="27"/>
      <c r="E22" s="27"/>
      <c r="F22" s="494"/>
      <c r="G22" s="27"/>
      <c r="H22" s="486"/>
      <c r="I22" s="27"/>
      <c r="J22" s="500"/>
    </row>
    <row r="23" spans="1:10" ht="12.75" customHeight="1" x14ac:dyDescent="0.25">
      <c r="A23" s="333" t="s">
        <v>479</v>
      </c>
      <c r="B23" s="32"/>
      <c r="C23" s="27"/>
      <c r="D23" s="488"/>
      <c r="E23" s="27"/>
      <c r="F23" s="489"/>
      <c r="G23" s="27"/>
      <c r="H23" s="486"/>
      <c r="I23" s="27"/>
      <c r="J23" s="500"/>
    </row>
    <row r="24" spans="1:10" ht="12.75" customHeight="1" x14ac:dyDescent="0.25">
      <c r="A24" s="353" t="s">
        <v>519</v>
      </c>
      <c r="B24" s="32">
        <f>'Table 3.7-NonPARS RTS Summary'!B8</f>
        <v>47349.203136856289</v>
      </c>
      <c r="C24" s="27"/>
      <c r="D24" s="488">
        <f>F24/B24</f>
        <v>0.51624116951549437</v>
      </c>
      <c r="E24" s="27"/>
      <c r="F24" s="489">
        <f>'Table 3.7-NonPARS RTS Summary'!F8</f>
        <v>24443.608002997407</v>
      </c>
      <c r="G24" s="27"/>
      <c r="H24" s="134">
        <f>B24/$B$38</f>
        <v>3.5383757393036189E-2</v>
      </c>
      <c r="I24" s="27"/>
      <c r="J24" s="500">
        <f>D24*H24</f>
        <v>1.8266552298433523E-2</v>
      </c>
    </row>
    <row r="25" spans="1:10" ht="12.75" customHeight="1" x14ac:dyDescent="0.25">
      <c r="A25" s="353" t="s">
        <v>521</v>
      </c>
      <c r="B25" s="32">
        <f>'Table 3.7-NonPARS RTS Summary'!B14</f>
        <v>28535.367679488798</v>
      </c>
      <c r="C25" s="27"/>
      <c r="D25" s="488">
        <f>F25/B25</f>
        <v>0.39989711119668325</v>
      </c>
      <c r="E25" s="27"/>
      <c r="F25" s="494">
        <f>'Table 3.7-NonPARS RTS Summary'!F14</f>
        <v>11411.211101962774</v>
      </c>
      <c r="G25" s="27"/>
      <c r="H25" s="134">
        <f>B25/$B$38</f>
        <v>2.1324298197242166E-2</v>
      </c>
      <c r="I25" s="27"/>
      <c r="J25" s="500">
        <f>D25*H25</f>
        <v>8.5275252473737823E-3</v>
      </c>
    </row>
    <row r="26" spans="1:10" ht="12.75" customHeight="1" x14ac:dyDescent="0.25">
      <c r="A26" s="353" t="s">
        <v>522</v>
      </c>
      <c r="B26" s="32">
        <f>'Table 3.7-NonPARS RTS Summary'!B20</f>
        <v>7949.735254780524</v>
      </c>
      <c r="C26" s="27"/>
      <c r="D26" s="488">
        <f>F26/B26</f>
        <v>0.11352565266440835</v>
      </c>
      <c r="E26" s="27"/>
      <c r="F26" s="494">
        <f>'Table 3.7-NonPARS RTS Summary'!F20</f>
        <v>902.49888330821557</v>
      </c>
      <c r="G26" s="27"/>
      <c r="H26" s="134">
        <f>B26/$B$38</f>
        <v>5.9407864326879341E-3</v>
      </c>
      <c r="I26" s="27"/>
      <c r="J26" s="500">
        <f>D26*H26</f>
        <v>6.7443165711075998E-4</v>
      </c>
    </row>
    <row r="27" spans="1:10" ht="12.75" customHeight="1" x14ac:dyDescent="0.25">
      <c r="A27" s="353" t="s">
        <v>102</v>
      </c>
      <c r="B27" s="32">
        <f>SUM(B24:B26)</f>
        <v>83834.306071125611</v>
      </c>
      <c r="C27" s="27"/>
      <c r="D27" s="488">
        <f>F27/B27</f>
        <v>0.43845198595767265</v>
      </c>
      <c r="E27" s="27"/>
      <c r="F27" s="494">
        <f>SUM(F24:F26)</f>
        <v>36757.317988268398</v>
      </c>
      <c r="G27" s="27"/>
      <c r="H27" s="134">
        <f>B27/$B$38</f>
        <v>6.2648842022966292E-2</v>
      </c>
      <c r="I27" s="27"/>
      <c r="J27" s="500">
        <f>SUM(J24:J26)</f>
        <v>2.7468509202918066E-2</v>
      </c>
    </row>
    <row r="28" spans="1:10" ht="5.0999999999999996" customHeight="1" x14ac:dyDescent="0.25">
      <c r="A28" s="353"/>
      <c r="B28" s="32"/>
      <c r="C28" s="27"/>
      <c r="D28" s="488"/>
      <c r="E28" s="27"/>
      <c r="F28" s="494"/>
      <c r="G28" s="27"/>
      <c r="H28" s="486"/>
      <c r="I28" s="27"/>
      <c r="J28" s="500"/>
    </row>
    <row r="29" spans="1:10" ht="12.75" customHeight="1" x14ac:dyDescent="0.25">
      <c r="A29" s="353" t="s">
        <v>517</v>
      </c>
      <c r="B29" s="32"/>
      <c r="C29" s="27"/>
      <c r="D29" s="488"/>
      <c r="E29" s="27"/>
      <c r="F29" s="494"/>
      <c r="G29" s="27"/>
      <c r="H29" s="486"/>
      <c r="I29" s="27"/>
      <c r="J29" s="500"/>
    </row>
    <row r="30" spans="1:10" ht="12.75" customHeight="1" x14ac:dyDescent="0.25">
      <c r="A30" s="501" t="s">
        <v>320</v>
      </c>
      <c r="B30" s="32">
        <f>'Table 3.7-NonPARS RTS Summary'!B23</f>
        <v>83834.306071125611</v>
      </c>
      <c r="C30" s="27"/>
      <c r="D30" s="488">
        <f>F30/B30</f>
        <v>2.4078971781597152</v>
      </c>
      <c r="E30" s="27"/>
      <c r="F30" s="494">
        <f>'Table 3.7-NonPARS RTS Summary'!F23</f>
        <v>201864.38902164123</v>
      </c>
      <c r="G30" s="27"/>
      <c r="H30" s="134">
        <f>B30/$B$38</f>
        <v>6.2648842022966292E-2</v>
      </c>
      <c r="I30" s="27"/>
      <c r="J30" s="500">
        <f>D30*H30</f>
        <v>0.15085196992207431</v>
      </c>
    </row>
    <row r="31" spans="1:10" ht="12.75" customHeight="1" x14ac:dyDescent="0.25">
      <c r="A31" s="501" t="s">
        <v>99</v>
      </c>
      <c r="B31" s="32">
        <f>'Table 3.7-NonPARS RTS Summary'!B24</f>
        <v>7993.3977164875796</v>
      </c>
      <c r="C31" s="27"/>
      <c r="D31" s="488">
        <f>F31/B31</f>
        <v>2.8560679544268806</v>
      </c>
      <c r="E31" s="27"/>
      <c r="F31" s="494">
        <f>'Table 3.7-NonPARS RTS Summary'!F24</f>
        <v>22829.68706504918</v>
      </c>
      <c r="G31" s="27"/>
      <c r="H31" s="134">
        <f>B31/$B$38</f>
        <v>5.973415111733698E-3</v>
      </c>
      <c r="I31" s="27"/>
      <c r="J31" s="500">
        <f>D31*H31</f>
        <v>1.7060479479111879E-2</v>
      </c>
    </row>
    <row r="32" spans="1:10" ht="12.75" customHeight="1" x14ac:dyDescent="0.25">
      <c r="A32" s="501" t="s">
        <v>100</v>
      </c>
      <c r="B32" s="32">
        <f>'Table 3.7-NonPARS RTS Summary'!B25</f>
        <v>5521.2422865854032</v>
      </c>
      <c r="C32" s="27"/>
      <c r="D32" s="488">
        <f>F32/B32</f>
        <v>0.86611479302919459</v>
      </c>
      <c r="E32" s="27"/>
      <c r="F32" s="494">
        <f>'Table 3.7-NonPARS RTS Summary'!F25</f>
        <v>4782.0296203099533</v>
      </c>
      <c r="G32" s="27"/>
      <c r="H32" s="134">
        <f>B32/$B$38</f>
        <v>4.1259891325318137E-3</v>
      </c>
      <c r="I32" s="27"/>
      <c r="J32" s="500">
        <f>D32*H32</f>
        <v>3.5735802235634978E-3</v>
      </c>
    </row>
    <row r="33" spans="1:11" ht="12.75" customHeight="1" x14ac:dyDescent="0.25">
      <c r="A33" s="502" t="s">
        <v>210</v>
      </c>
      <c r="B33" s="32">
        <f>'Table 3.7-NonPARS RTS Summary'!B26</f>
        <v>1145.0128030265978</v>
      </c>
      <c r="C33" s="27"/>
      <c r="D33" s="488">
        <f>F33/B33</f>
        <v>0.45498126298827479</v>
      </c>
      <c r="E33" s="27"/>
      <c r="F33" s="494">
        <f>'Table 3.7-NonPARS RTS Summary'!F26</f>
        <v>520.95937125878618</v>
      </c>
      <c r="G33" s="27"/>
      <c r="H33" s="134">
        <f>B33/$B$38</f>
        <v>8.5566076195856802E-4</v>
      </c>
      <c r="I33" s="27"/>
      <c r="J33" s="500">
        <f>D33*H33</f>
        <v>3.8930961416541883E-4</v>
      </c>
    </row>
    <row r="34" spans="1:11" ht="12.75" customHeight="1" x14ac:dyDescent="0.25">
      <c r="A34" s="503" t="s">
        <v>102</v>
      </c>
      <c r="B34" s="32">
        <f>B30</f>
        <v>83834.306071125611</v>
      </c>
      <c r="C34" s="27"/>
      <c r="D34" s="488">
        <f>F34/B34</f>
        <v>2.7434719252417743</v>
      </c>
      <c r="E34" s="27"/>
      <c r="F34" s="494">
        <f>SUM(F30:F33)</f>
        <v>229997.06507825915</v>
      </c>
      <c r="G34" s="27"/>
      <c r="H34" s="134">
        <f>B34/$B$38</f>
        <v>6.2648842022966292E-2</v>
      </c>
      <c r="I34" s="27"/>
      <c r="J34" s="500">
        <f>SUM(J30:J33)</f>
        <v>0.1718753392389151</v>
      </c>
    </row>
    <row r="35" spans="1:11" ht="5.0999999999999996" customHeight="1" x14ac:dyDescent="0.25">
      <c r="A35" s="353"/>
      <c r="B35" s="32"/>
      <c r="C35" s="27"/>
      <c r="D35" s="488"/>
      <c r="E35" s="27"/>
      <c r="F35" s="494"/>
      <c r="G35" s="27"/>
      <c r="H35" s="486"/>
      <c r="I35" s="27"/>
      <c r="J35" s="500"/>
    </row>
    <row r="36" spans="1:11" ht="12.75" customHeight="1" x14ac:dyDescent="0.25">
      <c r="A36" s="239" t="s">
        <v>494</v>
      </c>
      <c r="B36" s="32">
        <f>B27</f>
        <v>83834.306071125611</v>
      </c>
      <c r="C36" s="27"/>
      <c r="D36" s="488">
        <f>F36/B36</f>
        <v>3.1819239111994468</v>
      </c>
      <c r="E36" s="27"/>
      <c r="F36" s="494">
        <f>SUM(F27,F34)</f>
        <v>266754.38306652755</v>
      </c>
      <c r="G36" s="27"/>
      <c r="H36" s="134">
        <f>B36/$B$38</f>
        <v>6.2648842022966292E-2</v>
      </c>
      <c r="I36" s="27"/>
      <c r="J36" s="500">
        <f>J27+J34</f>
        <v>0.19934384844183317</v>
      </c>
    </row>
    <row r="37" spans="1:11" ht="12.75" customHeight="1" x14ac:dyDescent="0.25">
      <c r="A37" s="353"/>
      <c r="B37" s="32"/>
      <c r="C37" s="27"/>
      <c r="D37" s="488"/>
      <c r="E37" s="27"/>
      <c r="F37" s="494"/>
      <c r="G37" s="27"/>
      <c r="H37" s="486"/>
      <c r="I37" s="27"/>
      <c r="J37" s="500"/>
    </row>
    <row r="38" spans="1:11" ht="12.75" customHeight="1" x14ac:dyDescent="0.25">
      <c r="A38" s="480" t="s">
        <v>269</v>
      </c>
      <c r="B38" s="505">
        <f>SUM(B21,B36)</f>
        <v>1338162.1010711258</v>
      </c>
      <c r="C38" s="506"/>
      <c r="D38" s="507"/>
      <c r="E38" s="506"/>
      <c r="F38" s="508">
        <f>SUM(F21,F36)</f>
        <v>861900.34223779174</v>
      </c>
      <c r="G38" s="506"/>
      <c r="H38" s="509"/>
      <c r="I38" s="506"/>
      <c r="J38" s="507">
        <f>SUM(J21,J36)</f>
        <v>0.64409262640743425</v>
      </c>
    </row>
    <row r="39" spans="1:11" ht="12.75" customHeight="1" x14ac:dyDescent="0.25">
      <c r="A39" s="491"/>
      <c r="B39" s="32"/>
      <c r="C39" s="27"/>
      <c r="D39" s="27"/>
      <c r="E39" s="27"/>
      <c r="F39" s="27"/>
      <c r="G39" s="27"/>
      <c r="H39" s="27"/>
      <c r="I39" s="27"/>
      <c r="J39" s="27"/>
    </row>
    <row r="40" spans="1:11" ht="12.75" hidden="1" customHeight="1" x14ac:dyDescent="0.25">
      <c r="A40" s="491"/>
      <c r="B40" s="492"/>
      <c r="C40" s="151"/>
      <c r="D40" s="151"/>
      <c r="E40" s="151"/>
      <c r="F40" s="485"/>
      <c r="G40" s="151"/>
      <c r="H40" s="486"/>
      <c r="I40" s="151"/>
      <c r="J40" s="151"/>
    </row>
    <row r="41" spans="1:11" ht="12.75" hidden="1" customHeight="1" x14ac:dyDescent="0.25">
      <c r="A41" s="14" t="s">
        <v>191</v>
      </c>
      <c r="B41" s="143">
        <v>0</v>
      </c>
      <c r="C41" s="151"/>
      <c r="D41" s="492"/>
      <c r="E41" s="151"/>
      <c r="F41" s="485"/>
      <c r="G41" s="482" t="s">
        <v>311</v>
      </c>
      <c r="H41" s="504">
        <f>SUM('Table 3.14-Route UAA'!J99:J100,'Table 3.14-Route UAA'!J107)</f>
        <v>79268.815893852065</v>
      </c>
      <c r="I41" s="151"/>
      <c r="J41" s="492">
        <f>'Table 3.6-PARS RTS Summary'!J71+'Table 3.7-NonPARS RTS Summary'!J32</f>
        <v>79268.815893852036</v>
      </c>
      <c r="K41" s="143">
        <f t="shared" ref="K41:K48" si="3">H41-J41</f>
        <v>0</v>
      </c>
    </row>
    <row r="42" spans="1:11" ht="12.75" hidden="1" customHeight="1" x14ac:dyDescent="0.25">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33381.590824289917</v>
      </c>
      <c r="I42" s="151"/>
      <c r="J42" s="492">
        <f>'Table 3.6-PARS RTS Summary'!J72+'Table 3.7-NonPARS RTS Summary'!J33</f>
        <v>33381.590824289924</v>
      </c>
      <c r="K42" s="143">
        <f t="shared" si="3"/>
        <v>0</v>
      </c>
    </row>
    <row r="43" spans="1:11" ht="12.75" hidden="1" customHeight="1" x14ac:dyDescent="0.25">
      <c r="A43" s="487"/>
      <c r="B43" s="143">
        <v>0</v>
      </c>
      <c r="C43" s="27"/>
      <c r="D43" s="488"/>
      <c r="E43" s="27"/>
      <c r="F43" s="485"/>
      <c r="G43" s="46" t="s">
        <v>313</v>
      </c>
      <c r="H43" s="504">
        <f>SUM('Table 3.20-CFS Non-CIOSS'!H14,'Table 3.20-CFS Non-CIOSS'!H50,'Table 3.20-CFS Non-CIOSS'!H71,'Table 3.21-CFS CIOSS Rejs'!H14,'Table 3.21-CFS CIOSS Rejs'!H71)</f>
        <v>12831.818814542312</v>
      </c>
      <c r="I43" s="151"/>
      <c r="J43" s="492">
        <f>'Table 3.6-PARS RTS Summary'!J73+'Table 3.7-NonPARS RTS Summary'!J34</f>
        <v>12831.818814542312</v>
      </c>
      <c r="K43" s="143">
        <f t="shared" si="3"/>
        <v>0</v>
      </c>
    </row>
    <row r="44" spans="1:11" ht="12.75" hidden="1" customHeight="1" x14ac:dyDescent="0.25">
      <c r="A44" s="487"/>
      <c r="B44" s="32"/>
      <c r="C44" s="27"/>
      <c r="D44" s="488"/>
      <c r="E44" s="27"/>
      <c r="F44" s="485"/>
      <c r="G44" s="483" t="s">
        <v>502</v>
      </c>
      <c r="H44" s="504">
        <f>SUM('Table 3.23-CIOSS Summary'!I5,'Table 3.23-CIOSS Summary'!I9,'Table 3.23-CIOSS Summary'!I12)</f>
        <v>-7500.4884199948428</v>
      </c>
      <c r="I44" s="151"/>
      <c r="J44" s="492">
        <f>'Table 3.6-PARS RTS Summary'!J74</f>
        <v>-7500.4884199948447</v>
      </c>
      <c r="K44" s="143">
        <f t="shared" si="3"/>
        <v>0</v>
      </c>
    </row>
    <row r="45" spans="1:11" ht="12.75" hidden="1" customHeight="1" x14ac:dyDescent="0.25">
      <c r="A45" s="499"/>
      <c r="B45" s="32"/>
      <c r="C45" s="27"/>
      <c r="D45" s="488"/>
      <c r="E45" s="27"/>
      <c r="F45" s="485"/>
      <c r="G45" s="483" t="s">
        <v>503</v>
      </c>
      <c r="H45" s="504">
        <f>SUM('Table 3.25-REC Summary'!K5,'Table 3.25-REC Summary'!K9,'Table 3.25-REC Summary'!K12)</f>
        <v>4668.5282626416456</v>
      </c>
      <c r="I45" s="151"/>
      <c r="J45" s="492">
        <f>'Table 3.6-PARS RTS Summary'!J75</f>
        <v>4668.528262641642</v>
      </c>
      <c r="K45" s="143">
        <f t="shared" si="3"/>
        <v>0</v>
      </c>
    </row>
    <row r="46" spans="1:11" ht="12.75" hidden="1" customHeight="1" x14ac:dyDescent="0.25">
      <c r="A46" s="491"/>
      <c r="B46" s="492"/>
      <c r="C46" s="151"/>
      <c r="D46" s="488"/>
      <c r="E46" s="151"/>
      <c r="F46" s="489"/>
      <c r="G46" s="67" t="s">
        <v>518</v>
      </c>
      <c r="H46" s="504">
        <f>'Table 3.6-PARS RTS Summary'!H76+'Table 3.7-NonPARS RTS Summary'!H35</f>
        <v>695107.96126807667</v>
      </c>
      <c r="I46" s="151"/>
      <c r="J46" s="492">
        <f>'Table 3.6-PARS RTS Summary'!J76+'Table 3.7-NonPARS RTS Summary'!J35</f>
        <v>695107.96126807667</v>
      </c>
      <c r="K46" s="143">
        <f t="shared" si="3"/>
        <v>0</v>
      </c>
    </row>
    <row r="47" spans="1:11" ht="12.75" hidden="1" customHeight="1" x14ac:dyDescent="0.25">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44142.115594384035</v>
      </c>
      <c r="I47" s="151"/>
      <c r="J47" s="492">
        <f>'Table 3.6-PARS RTS Summary'!J77+'Table 3.7-NonPARS RTS Summary'!J36</f>
        <v>44142.115594384028</v>
      </c>
      <c r="K47" s="143">
        <f t="shared" si="3"/>
        <v>0</v>
      </c>
    </row>
    <row r="48" spans="1:11" ht="12.75" hidden="1" customHeight="1" x14ac:dyDescent="0.25">
      <c r="A48" s="493"/>
      <c r="B48" s="492"/>
      <c r="C48" s="151"/>
      <c r="D48" s="488"/>
      <c r="E48" s="151"/>
      <c r="F48" s="489"/>
      <c r="G48" s="46" t="s">
        <v>314</v>
      </c>
      <c r="H48" s="492">
        <f>SUM(H41:H47)</f>
        <v>861900.34223779174</v>
      </c>
      <c r="I48" s="151"/>
      <c r="J48" s="492">
        <f>SUM(J41:J47)</f>
        <v>861900.34223779174</v>
      </c>
      <c r="K48" s="143">
        <f t="shared" si="3"/>
        <v>0</v>
      </c>
    </row>
    <row r="49" spans="1:10" ht="12.75" customHeight="1" x14ac:dyDescent="0.25">
      <c r="A49" s="493"/>
      <c r="B49" s="492"/>
      <c r="C49" s="151"/>
      <c r="D49" s="488"/>
      <c r="E49" s="151"/>
      <c r="F49" s="489"/>
      <c r="G49" s="151"/>
      <c r="H49" s="486"/>
      <c r="I49" s="151"/>
      <c r="J49" s="151"/>
    </row>
    <row r="50" spans="1:10" x14ac:dyDescent="0.25">
      <c r="A50" s="317"/>
      <c r="B50" s="317"/>
      <c r="C50" s="317"/>
      <c r="D50" s="317"/>
      <c r="E50" s="317"/>
      <c r="F50" s="317"/>
      <c r="G50" s="27"/>
      <c r="H50" s="240"/>
      <c r="I50" s="27"/>
      <c r="J50" s="27"/>
    </row>
    <row r="51" spans="1:10" x14ac:dyDescent="0.25">
      <c r="A51" s="284" t="s">
        <v>235</v>
      </c>
    </row>
    <row r="52" spans="1:10" x14ac:dyDescent="0.25">
      <c r="A52" s="241" t="s">
        <v>603</v>
      </c>
      <c r="D52" s="12"/>
    </row>
    <row r="53" spans="1:10" x14ac:dyDescent="0.25">
      <c r="A53" s="241" t="s">
        <v>604</v>
      </c>
      <c r="D53" s="12"/>
    </row>
    <row r="54" spans="1:10" x14ac:dyDescent="0.25">
      <c r="A54" s="284"/>
      <c r="D54" s="12"/>
    </row>
    <row r="55" spans="1:10" x14ac:dyDescent="0.25">
      <c r="A55" s="241"/>
    </row>
    <row r="56" spans="1:10" x14ac:dyDescent="0.25">
      <c r="A56" s="241"/>
    </row>
  </sheetData>
  <phoneticPr fontId="5" type="noConversion"/>
  <printOptions horizontalCentered="1"/>
  <pageMargins left="0.75" right="0.75" top="1" bottom="1" header="0.5" footer="0.5"/>
  <pageSetup scale="90" orientation="landscape"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L93"/>
  <sheetViews>
    <sheetView zoomScale="70" zoomScaleNormal="70" workbookViewId="0"/>
  </sheetViews>
  <sheetFormatPr defaultRowHeight="13.2" x14ac:dyDescent="0.25"/>
  <cols>
    <col min="1" max="1" width="50" customWidth="1"/>
    <col min="2" max="2" width="11.6640625" customWidth="1"/>
    <col min="3" max="3" width="3.5546875" customWidth="1"/>
    <col min="4" max="4" width="11.6640625" customWidth="1"/>
    <col min="5" max="5" width="3.5546875" customWidth="1"/>
    <col min="6" max="6" width="11.6640625" customWidth="1"/>
    <col min="7" max="7" width="3.5546875" customWidth="1"/>
    <col min="8" max="8" width="11.6640625" customWidth="1"/>
    <col min="9" max="9" width="3.44140625" customWidth="1"/>
    <col min="10" max="10" width="11.6640625" customWidth="1"/>
  </cols>
  <sheetData>
    <row r="1" spans="1:12" s="13" customFormat="1" ht="15.75" customHeight="1" x14ac:dyDescent="0.3">
      <c r="A1" s="157" t="s">
        <v>18</v>
      </c>
      <c r="B1" s="19"/>
      <c r="C1" s="19"/>
      <c r="D1" s="19"/>
      <c r="E1" s="19"/>
      <c r="F1" s="19"/>
      <c r="G1" s="19"/>
      <c r="H1" s="19"/>
      <c r="I1" s="19"/>
      <c r="J1" s="19"/>
    </row>
    <row r="2" spans="1:12" s="13" customFormat="1" ht="15.6" x14ac:dyDescent="0.3">
      <c r="A2" s="158" t="s">
        <v>787</v>
      </c>
      <c r="B2" s="19"/>
      <c r="C2" s="19"/>
      <c r="D2" s="19"/>
      <c r="E2" s="19"/>
      <c r="F2" s="19"/>
      <c r="G2" s="19"/>
      <c r="H2" s="19"/>
      <c r="I2" s="19"/>
      <c r="J2" s="19"/>
    </row>
    <row r="3" spans="1:12" ht="25.5" customHeight="1" x14ac:dyDescent="0.25">
      <c r="B3" s="168" t="s">
        <v>109</v>
      </c>
      <c r="C3" s="168"/>
      <c r="D3" s="169" t="s">
        <v>104</v>
      </c>
      <c r="E3" s="169"/>
      <c r="F3" s="168" t="s">
        <v>110</v>
      </c>
      <c r="G3" s="168"/>
      <c r="H3" s="170" t="s">
        <v>97</v>
      </c>
      <c r="I3" s="170"/>
      <c r="J3" s="171" t="s">
        <v>105</v>
      </c>
    </row>
    <row r="4" spans="1:12" x14ac:dyDescent="0.25">
      <c r="A4" s="333" t="s">
        <v>778</v>
      </c>
    </row>
    <row r="5" spans="1:12" x14ac:dyDescent="0.25">
      <c r="A5" s="353" t="s">
        <v>481</v>
      </c>
      <c r="B5" s="32">
        <f>'Table 3.24-CIOSS Detail'!E12</f>
        <v>22960.232083355149</v>
      </c>
      <c r="C5" s="241" t="s">
        <v>244</v>
      </c>
      <c r="D5" s="488">
        <f>F5/B5</f>
        <v>6.1698581461821923E-2</v>
      </c>
      <c r="E5" s="27"/>
      <c r="F5" s="489">
        <f>'Table 3.24-CIOSS Detail'!K12</f>
        <v>1416.613749577225</v>
      </c>
      <c r="G5" s="241" t="s">
        <v>244</v>
      </c>
      <c r="H5" s="358">
        <f>B5/$B$68</f>
        <v>1.8304810094202806E-2</v>
      </c>
      <c r="J5" s="551">
        <f>D5*H5</f>
        <v>1.1293808167403521E-3</v>
      </c>
    </row>
    <row r="6" spans="1:12" x14ac:dyDescent="0.25">
      <c r="A6" s="353" t="s">
        <v>95</v>
      </c>
      <c r="B6" s="32">
        <f>'Table 3.28-REC Volume'!G12</f>
        <v>8724.8881916749597</v>
      </c>
      <c r="C6" s="241" t="s">
        <v>582</v>
      </c>
      <c r="D6" s="488">
        <f>F6/B6</f>
        <v>0</v>
      </c>
      <c r="E6" s="27"/>
      <c r="F6" s="489">
        <v>0</v>
      </c>
      <c r="H6" s="358">
        <f>B6/$B$68</f>
        <v>6.9558278357970682E-3</v>
      </c>
      <c r="J6" s="551">
        <f>D6*H6</f>
        <v>0</v>
      </c>
    </row>
    <row r="7" spans="1:12" x14ac:dyDescent="0.25">
      <c r="A7" s="239" t="s">
        <v>499</v>
      </c>
      <c r="B7" s="32">
        <f>'Table 3.28-REC Volume'!H12</f>
        <v>13087.33228751244</v>
      </c>
      <c r="C7" s="241" t="s">
        <v>582</v>
      </c>
      <c r="D7" s="488">
        <f>F7/B7</f>
        <v>9.3196293506615499E-2</v>
      </c>
      <c r="E7" s="27"/>
      <c r="F7" s="489">
        <f>'Table 3.26-REC Detail NonACS'!K12</f>
        <v>1219.6908610856149</v>
      </c>
      <c r="G7" s="12" t="s">
        <v>590</v>
      </c>
      <c r="H7" s="358">
        <f>B7/$B$68</f>
        <v>1.0433741753695602E-2</v>
      </c>
      <c r="J7" s="551">
        <f>D7*H7</f>
        <v>9.7238605884964445E-4</v>
      </c>
    </row>
    <row r="8" spans="1:12" x14ac:dyDescent="0.25">
      <c r="A8" s="239" t="s">
        <v>677</v>
      </c>
      <c r="B8" s="32">
        <v>0</v>
      </c>
      <c r="C8" s="27"/>
      <c r="D8" s="488">
        <v>0</v>
      </c>
      <c r="E8" s="27"/>
      <c r="F8" s="494">
        <v>0</v>
      </c>
      <c r="H8" s="358">
        <f>B8/$B$68</f>
        <v>0</v>
      </c>
      <c r="J8" s="551">
        <f>D8*H8</f>
        <v>0</v>
      </c>
    </row>
    <row r="9" spans="1:12" x14ac:dyDescent="0.25">
      <c r="A9" s="239" t="s">
        <v>488</v>
      </c>
      <c r="B9" s="32">
        <v>1148.0116041677684</v>
      </c>
      <c r="C9" s="241" t="s">
        <v>586</v>
      </c>
      <c r="D9" s="488">
        <f>'Table 3.18-Nixie UAA'!J33</f>
        <v>0.13468778971115383</v>
      </c>
      <c r="E9" s="12" t="s">
        <v>587</v>
      </c>
      <c r="F9" s="489">
        <f>B9*D9</f>
        <v>154.62314552811276</v>
      </c>
      <c r="H9" s="358">
        <f>B9/$B$68</f>
        <v>9.1524050471014889E-4</v>
      </c>
      <c r="J9" s="551">
        <f>D9*H9</f>
        <v>1.2327172063353084E-4</v>
      </c>
      <c r="K9" s="6"/>
      <c r="L9" s="6"/>
    </row>
    <row r="10" spans="1:12" x14ac:dyDescent="0.25">
      <c r="A10" s="82" t="s">
        <v>102</v>
      </c>
      <c r="B10" s="32">
        <f>B5</f>
        <v>22960.232083355149</v>
      </c>
      <c r="C10" s="27"/>
      <c r="D10" s="488">
        <f>F10/B10</f>
        <v>0.12155485824615053</v>
      </c>
      <c r="E10" s="27"/>
      <c r="F10" s="494">
        <f>SUM(F5:F9)</f>
        <v>2790.9277561909526</v>
      </c>
      <c r="H10" s="142"/>
      <c r="J10" s="22">
        <f>SUM(J5:J9)</f>
        <v>2.2250385962235275E-3</v>
      </c>
      <c r="L10" s="6"/>
    </row>
    <row r="11" spans="1:12" ht="5.0999999999999996" customHeight="1" x14ac:dyDescent="0.25">
      <c r="A11" s="82"/>
      <c r="B11" s="32"/>
      <c r="C11" s="27"/>
      <c r="D11" s="27"/>
      <c r="E11" s="27"/>
      <c r="F11" s="494"/>
      <c r="H11" s="142"/>
      <c r="L11" s="6"/>
    </row>
    <row r="12" spans="1:12" x14ac:dyDescent="0.25">
      <c r="A12" s="333" t="s">
        <v>605</v>
      </c>
      <c r="B12" s="32"/>
      <c r="C12" s="27"/>
      <c r="D12" s="27"/>
      <c r="E12" s="27"/>
      <c r="F12" s="494"/>
      <c r="H12" s="142"/>
      <c r="K12" s="165"/>
      <c r="L12" s="6"/>
    </row>
    <row r="13" spans="1:12" x14ac:dyDescent="0.25">
      <c r="A13" s="353" t="s">
        <v>481</v>
      </c>
      <c r="B13" s="32">
        <f>SUM('Table 3.24-CIOSS Detail'!E5,'Table 3.24-CIOSS Detail'!E9)</f>
        <v>222492.94219007934</v>
      </c>
      <c r="C13" s="241" t="s">
        <v>244</v>
      </c>
      <c r="D13" s="488">
        <f>F13/B13</f>
        <v>6.1698581461821903E-2</v>
      </c>
      <c r="E13" s="27"/>
      <c r="F13" s="489">
        <f>SUM('Table 3.24-CIOSS Detail'!K5,'Table 3.24-CIOSS Detail'!K9)</f>
        <v>13727.498918395042</v>
      </c>
      <c r="G13" s="241" t="s">
        <v>244</v>
      </c>
      <c r="H13" s="358">
        <f>B13/$B$68</f>
        <v>0.17738022156327909</v>
      </c>
      <c r="J13" s="551">
        <f>D13*H13</f>
        <v>1.0944108049837992E-2</v>
      </c>
      <c r="K13" s="165"/>
      <c r="L13" s="6"/>
    </row>
    <row r="14" spans="1:12" x14ac:dyDescent="0.25">
      <c r="A14" s="353" t="s">
        <v>95</v>
      </c>
      <c r="B14" s="32">
        <f>SUM('Table 3.28-REC Volume'!G5,'Table 3.28-REC Volume'!G9)</f>
        <v>84623.353565625002</v>
      </c>
      <c r="C14" s="241" t="s">
        <v>582</v>
      </c>
      <c r="D14" s="488">
        <f>F14/B14</f>
        <v>0</v>
      </c>
      <c r="E14" s="27"/>
      <c r="F14" s="489">
        <v>0</v>
      </c>
      <c r="H14" s="358">
        <f>B14/$B$68</f>
        <v>6.7465102745032438E-2</v>
      </c>
      <c r="J14" s="551">
        <f>D14*H14</f>
        <v>0</v>
      </c>
      <c r="K14" s="165"/>
      <c r="L14" s="6"/>
    </row>
    <row r="15" spans="1:12" x14ac:dyDescent="0.25">
      <c r="A15" s="239" t="s">
        <v>499</v>
      </c>
      <c r="B15" s="32">
        <f>SUM('Table 3.28-REC Volume'!H5)</f>
        <v>123725.24461726865</v>
      </c>
      <c r="C15" s="241" t="s">
        <v>582</v>
      </c>
      <c r="D15" s="488">
        <f>F15/B15</f>
        <v>9.3196293506615513E-2</v>
      </c>
      <c r="E15" s="27"/>
      <c r="F15" s="494">
        <f>SUM('Table 3.26-REC Detail NonACS'!K5)</f>
        <v>11530.73421152877</v>
      </c>
      <c r="G15" s="12" t="s">
        <v>590</v>
      </c>
      <c r="H15" s="358">
        <f>B15/$B$68</f>
        <v>9.8638685286622896E-2</v>
      </c>
      <c r="J15" s="551">
        <f>D15*H15</f>
        <v>9.1927598650787846E-3</v>
      </c>
      <c r="K15" s="165"/>
      <c r="L15" s="6"/>
    </row>
    <row r="16" spans="1:12" x14ac:dyDescent="0.25">
      <c r="A16" s="239" t="s">
        <v>677</v>
      </c>
      <c r="B16" s="32">
        <f>SUM('Table 3.28-REC Volume'!H9)</f>
        <v>3209.7857311688617</v>
      </c>
      <c r="C16" s="241" t="s">
        <v>582</v>
      </c>
      <c r="D16" s="488">
        <f>F16/B16</f>
        <v>4.659814675330775E-2</v>
      </c>
      <c r="E16" s="27"/>
      <c r="F16" s="494">
        <f>SUM('Table 3.26-REC Detail NonACS'!K9)</f>
        <v>149.57006654767983</v>
      </c>
      <c r="G16" s="12" t="s">
        <v>590</v>
      </c>
      <c r="H16" s="358">
        <f>B16/$B$68</f>
        <v>2.55896883092578E-3</v>
      </c>
      <c r="J16" s="551">
        <f>D16*H16</f>
        <v>1.1924320512061987E-4</v>
      </c>
      <c r="L16" s="6"/>
    </row>
    <row r="17" spans="1:12" x14ac:dyDescent="0.25">
      <c r="A17" s="239" t="s">
        <v>489</v>
      </c>
      <c r="B17" s="32">
        <v>10934.558276016805</v>
      </c>
      <c r="C17" s="241" t="s">
        <v>591</v>
      </c>
      <c r="D17" s="488">
        <f>'Table 3.21-CFS CIOSS Rejs'!I13</f>
        <v>0.27564836282572275</v>
      </c>
      <c r="E17" s="241" t="s">
        <v>592</v>
      </c>
      <c r="F17" s="494">
        <f>B17*D17</f>
        <v>3014.0930870064899</v>
      </c>
      <c r="H17" s="358">
        <f>B17/$B$68</f>
        <v>8.7174647006979574E-3</v>
      </c>
      <c r="J17" s="551">
        <f>D17*H17</f>
        <v>2.4029548727384211E-3</v>
      </c>
      <c r="L17" s="6"/>
    </row>
    <row r="18" spans="1:12" x14ac:dyDescent="0.25">
      <c r="A18" s="82" t="s">
        <v>102</v>
      </c>
      <c r="B18" s="32">
        <f>B13</f>
        <v>222492.94219007934</v>
      </c>
      <c r="C18" s="27"/>
      <c r="D18" s="488">
        <f>F18/B18</f>
        <v>0.12774291176929423</v>
      </c>
      <c r="E18" s="27"/>
      <c r="F18" s="494">
        <f>SUM(F13:F17)</f>
        <v>28421.896283477985</v>
      </c>
      <c r="H18" s="142"/>
      <c r="J18" s="22">
        <f>SUM(J13:J17)</f>
        <v>2.2659065992775819E-2</v>
      </c>
      <c r="L18" s="6"/>
    </row>
    <row r="19" spans="1:12" ht="5.0999999999999996" customHeight="1" x14ac:dyDescent="0.25">
      <c r="B19" s="27"/>
      <c r="C19" s="27"/>
      <c r="D19" s="27"/>
      <c r="E19" s="27"/>
      <c r="F19" s="27"/>
      <c r="L19" s="6"/>
    </row>
    <row r="20" spans="1:12" x14ac:dyDescent="0.25">
      <c r="A20" s="15" t="s">
        <v>606</v>
      </c>
      <c r="B20" s="27"/>
      <c r="C20" s="27"/>
      <c r="D20" s="27"/>
      <c r="E20" s="27"/>
      <c r="F20" s="27"/>
      <c r="L20" s="6"/>
    </row>
    <row r="21" spans="1:12" x14ac:dyDescent="0.25">
      <c r="A21" s="353" t="s">
        <v>307</v>
      </c>
      <c r="B21" s="32">
        <f>'Table 3.16-Route UAA PARS'!D107</f>
        <v>14201.677161068905</v>
      </c>
      <c r="C21" s="490" t="s">
        <v>593</v>
      </c>
      <c r="D21" s="488">
        <f t="shared" ref="D21:D26" si="0">F21/B21</f>
        <v>7.0558044454188396E-2</v>
      </c>
      <c r="E21" s="490"/>
      <c r="F21" s="489">
        <f>'Table 3.16-Route UAA PARS'!J107</f>
        <v>1002.0425684547317</v>
      </c>
      <c r="G21" s="490" t="s">
        <v>593</v>
      </c>
      <c r="H21" s="358">
        <f t="shared" ref="H21:H27" si="1">B21/$B$68</f>
        <v>1.1322141801911439E-2</v>
      </c>
      <c r="J21" s="551">
        <f t="shared" ref="J21:J27" si="2">D21*H21</f>
        <v>7.98868184575892E-4</v>
      </c>
      <c r="L21" s="6"/>
    </row>
    <row r="22" spans="1:12" x14ac:dyDescent="0.25">
      <c r="A22" s="353" t="s">
        <v>495</v>
      </c>
      <c r="B22" s="32">
        <f>'Table 3.18-Nixie UAA'!D7</f>
        <v>14201.677161068903</v>
      </c>
      <c r="C22" s="12" t="s">
        <v>587</v>
      </c>
      <c r="D22" s="488">
        <f t="shared" si="0"/>
        <v>6.8571260344913489E-3</v>
      </c>
      <c r="E22" s="490"/>
      <c r="F22" s="489">
        <f>'Table 3.18-Nixie UAA'!I7</f>
        <v>97.382690194606766</v>
      </c>
      <c r="G22" s="12" t="s">
        <v>587</v>
      </c>
      <c r="H22" s="358">
        <f t="shared" si="1"/>
        <v>1.1322141801911437E-2</v>
      </c>
      <c r="J22" s="551">
        <f t="shared" si="2"/>
        <v>7.7637353316089712E-5</v>
      </c>
      <c r="L22" s="6"/>
    </row>
    <row r="23" spans="1:12" x14ac:dyDescent="0.25">
      <c r="A23" s="353" t="s">
        <v>481</v>
      </c>
      <c r="B23" s="32">
        <f>SUM('Table 3.24-CIOSS Detail'!E20,'Table 3.24-CIOSS Detail'!E24)</f>
        <v>14201.677161068908</v>
      </c>
      <c r="C23" s="241" t="s">
        <v>244</v>
      </c>
      <c r="D23" s="488">
        <f t="shared" si="0"/>
        <v>4.6456383543023186E-2</v>
      </c>
      <c r="E23" s="490"/>
      <c r="F23" s="489">
        <f>SUM('Table 3.24-CIOSS Detail'!K20,'Table 3.24-CIOSS Detail'!K24)</f>
        <v>659.75856114880992</v>
      </c>
      <c r="G23" s="241" t="s">
        <v>244</v>
      </c>
      <c r="H23" s="358">
        <f t="shared" si="1"/>
        <v>1.1322141801911443E-2</v>
      </c>
      <c r="J23" s="551">
        <f t="shared" si="2"/>
        <v>5.2598576207809364E-4</v>
      </c>
      <c r="L23" s="6"/>
    </row>
    <row r="24" spans="1:12" x14ac:dyDescent="0.25">
      <c r="A24" s="353" t="s">
        <v>95</v>
      </c>
      <c r="B24" s="32">
        <f>SUM('Table 3.28-REC Volume'!G20,'Table 3.28-REC Volume'!G24)</f>
        <v>3105.8571255468783</v>
      </c>
      <c r="C24" s="241" t="s">
        <v>582</v>
      </c>
      <c r="D24" s="488">
        <f t="shared" si="0"/>
        <v>0</v>
      </c>
      <c r="E24" s="27"/>
      <c r="F24" s="489">
        <v>0</v>
      </c>
      <c r="H24" s="358">
        <f t="shared" si="1"/>
        <v>2.4761128135144909E-3</v>
      </c>
      <c r="J24" s="551">
        <f t="shared" si="2"/>
        <v>0</v>
      </c>
      <c r="L24" s="6"/>
    </row>
    <row r="25" spans="1:12" x14ac:dyDescent="0.25">
      <c r="A25" s="239" t="s">
        <v>499</v>
      </c>
      <c r="B25" s="32">
        <f>SUM('Table 3.28-REC Volume'!H20)</f>
        <v>10134.940250563504</v>
      </c>
      <c r="C25" s="241" t="s">
        <v>582</v>
      </c>
      <c r="D25" s="488">
        <f t="shared" si="0"/>
        <v>9.3196293506615513E-2</v>
      </c>
      <c r="E25" s="490"/>
      <c r="F25" s="489">
        <f>SUM('Table 3.26-REC Detail NonACS'!K20)</f>
        <v>944.53886626352767</v>
      </c>
      <c r="G25" s="12" t="s">
        <v>590</v>
      </c>
      <c r="H25" s="358">
        <f t="shared" si="1"/>
        <v>8.0799774117765628E-3</v>
      </c>
      <c r="J25" s="551">
        <f t="shared" si="2"/>
        <v>7.5302394639475208E-4</v>
      </c>
      <c r="L25" s="6"/>
    </row>
    <row r="26" spans="1:12" ht="12.75" customHeight="1" x14ac:dyDescent="0.25">
      <c r="A26" s="239" t="s">
        <v>677</v>
      </c>
      <c r="B26" s="32">
        <f>SUM('Table 3.28-REC Volume'!H24)</f>
        <v>262.92925670213043</v>
      </c>
      <c r="C26" s="241" t="s">
        <v>582</v>
      </c>
      <c r="D26" s="488">
        <f t="shared" si="0"/>
        <v>4.659814675330775E-2</v>
      </c>
      <c r="E26" s="490"/>
      <c r="F26" s="489">
        <f>SUM('Table 3.26-REC Detail NonACS'!K24)</f>
        <v>12.252016089543998</v>
      </c>
      <c r="G26" s="12" t="s">
        <v>590</v>
      </c>
      <c r="H26" s="358">
        <f t="shared" si="1"/>
        <v>2.0961765955455878E-4</v>
      </c>
      <c r="J26" s="551">
        <f t="shared" si="2"/>
        <v>9.7677944620082327E-6</v>
      </c>
      <c r="L26" s="6"/>
    </row>
    <row r="27" spans="1:12" x14ac:dyDescent="0.25">
      <c r="A27" s="239" t="s">
        <v>489</v>
      </c>
      <c r="B27" s="32">
        <f>'Table 3.21-CFS CIOSS Rejs'!B14-B17</f>
        <v>697.95052825639323</v>
      </c>
      <c r="C27" s="490" t="s">
        <v>594</v>
      </c>
      <c r="D27" s="488">
        <f>'Table 3.21-CFS CIOSS Rejs'!I13</f>
        <v>0.27564836282572275</v>
      </c>
      <c r="E27" s="241" t="s">
        <v>592</v>
      </c>
      <c r="F27" s="494">
        <f>B27*D27</f>
        <v>192.38892044722314</v>
      </c>
      <c r="H27" s="358">
        <f t="shared" si="1"/>
        <v>5.5643391706582817E-4</v>
      </c>
      <c r="J27" s="551">
        <f t="shared" si="2"/>
        <v>1.5338009825989954E-4</v>
      </c>
      <c r="L27" s="6"/>
    </row>
    <row r="28" spans="1:12" ht="12.75" customHeight="1" x14ac:dyDescent="0.25">
      <c r="A28" s="100" t="s">
        <v>102</v>
      </c>
      <c r="B28" s="492">
        <f>B21</f>
        <v>14201.677161068905</v>
      </c>
      <c r="C28" s="151"/>
      <c r="D28" s="488">
        <f>F28/B28</f>
        <v>0.20479015186819963</v>
      </c>
      <c r="E28" s="151"/>
      <c r="F28" s="485">
        <f>SUM(F21:F27)</f>
        <v>2908.3636225984433</v>
      </c>
      <c r="G28" s="18"/>
      <c r="H28" s="142"/>
      <c r="I28" s="18"/>
      <c r="J28" s="552">
        <f>SUM(J21:J27)</f>
        <v>2.3186631390867351E-3</v>
      </c>
      <c r="L28" s="6"/>
    </row>
    <row r="29" spans="1:12" ht="5.0999999999999996" customHeight="1" x14ac:dyDescent="0.25">
      <c r="A29" s="100"/>
      <c r="B29" s="492"/>
      <c r="C29" s="151"/>
      <c r="D29" s="151"/>
      <c r="E29" s="151"/>
      <c r="F29" s="485"/>
      <c r="G29" s="18"/>
      <c r="H29" s="142"/>
      <c r="I29" s="18"/>
      <c r="J29" s="18"/>
      <c r="L29" s="6"/>
    </row>
    <row r="30" spans="1:12" ht="12.75" customHeight="1" x14ac:dyDescent="0.25">
      <c r="A30" s="15" t="s">
        <v>607</v>
      </c>
      <c r="B30" s="492"/>
      <c r="C30" s="151"/>
      <c r="D30" s="151"/>
      <c r="E30" s="151"/>
      <c r="F30" s="485"/>
      <c r="G30" s="18"/>
      <c r="H30" s="142"/>
      <c r="I30" s="18"/>
      <c r="J30" s="18"/>
      <c r="L30" s="6"/>
    </row>
    <row r="31" spans="1:12" ht="12.75" customHeight="1" x14ac:dyDescent="0.25">
      <c r="A31" s="353" t="s">
        <v>307</v>
      </c>
      <c r="B31" s="492">
        <f>'Table 3.16-Route UAA PARS'!D99</f>
        <v>902119.21877276327</v>
      </c>
      <c r="C31" s="490" t="s">
        <v>593</v>
      </c>
      <c r="D31" s="488">
        <f>F31/B31</f>
        <v>7.090966541400047E-2</v>
      </c>
      <c r="E31" s="151"/>
      <c r="F31" s="489">
        <f>'Table 3.16-Route UAA PARS'!J99</f>
        <v>63968.971966716141</v>
      </c>
      <c r="G31" s="490" t="s">
        <v>593</v>
      </c>
      <c r="H31" s="358">
        <f t="shared" ref="H31:H37" si="3">B31/$B$68</f>
        <v>0.71920531648010178</v>
      </c>
      <c r="J31" s="551">
        <f t="shared" ref="J31:J37" si="4">D31*H31</f>
        <v>5.0998608355574335E-2</v>
      </c>
      <c r="L31" s="6"/>
    </row>
    <row r="32" spans="1:12" ht="12.75" customHeight="1" x14ac:dyDescent="0.25">
      <c r="A32" s="353" t="s">
        <v>495</v>
      </c>
      <c r="B32" s="492">
        <f>'Table 3.18-Nixie UAA'!D9</f>
        <v>902119.21877276339</v>
      </c>
      <c r="C32" s="12" t="s">
        <v>587</v>
      </c>
      <c r="D32" s="488">
        <f>F32/B32</f>
        <v>8.2014570372987775E-3</v>
      </c>
      <c r="E32" s="151"/>
      <c r="F32" s="489">
        <f>'Table 3.18-Nixie UAA'!I9</f>
        <v>7398.6920152863549</v>
      </c>
      <c r="G32" s="12" t="s">
        <v>587</v>
      </c>
      <c r="H32" s="358">
        <f t="shared" si="3"/>
        <v>0.71920531648010178</v>
      </c>
      <c r="J32" s="551">
        <f t="shared" si="4"/>
        <v>5.8985315041084254E-3</v>
      </c>
      <c r="L32" s="6"/>
    </row>
    <row r="33" spans="1:12" ht="12.75" customHeight="1" x14ac:dyDescent="0.25">
      <c r="A33" s="353" t="s">
        <v>481</v>
      </c>
      <c r="B33" s="492">
        <f>SUM('Table 3.24-CIOSS Detail'!E27,'Table 3.24-CIOSS Detail'!E34)</f>
        <v>902119.21877276362</v>
      </c>
      <c r="C33" s="241" t="s">
        <v>244</v>
      </c>
      <c r="D33" s="488">
        <f>F33/B33</f>
        <v>-2.9191270701467067E-2</v>
      </c>
      <c r="E33" s="151"/>
      <c r="F33" s="489">
        <f>SUM('Table 3.24-CIOSS Detail'!K27,'Table 3.24-CIOSS Detail'!K34)</f>
        <v>-26334.006320191733</v>
      </c>
      <c r="G33" s="241" t="s">
        <v>244</v>
      </c>
      <c r="H33" s="358">
        <f t="shared" si="3"/>
        <v>0.719205316480102</v>
      </c>
      <c r="J33" s="551">
        <f t="shared" si="4"/>
        <v>-2.099451708330495E-2</v>
      </c>
      <c r="L33" s="6"/>
    </row>
    <row r="34" spans="1:12" ht="12.75" customHeight="1" x14ac:dyDescent="0.25">
      <c r="A34" s="353" t="s">
        <v>95</v>
      </c>
      <c r="B34" s="492">
        <f>SUM('Table 3.28-REC Volume'!G27,'Table 3.28-REC Volume'!G34)</f>
        <v>342568.61733696109</v>
      </c>
      <c r="C34" s="241" t="s">
        <v>582</v>
      </c>
      <c r="D34" s="488">
        <f>F34/B34</f>
        <v>0</v>
      </c>
      <c r="E34" s="151"/>
      <c r="F34" s="489">
        <v>0</v>
      </c>
      <c r="G34" s="18"/>
      <c r="H34" s="358">
        <f t="shared" si="3"/>
        <v>0.27310932493285062</v>
      </c>
      <c r="J34" s="551">
        <f t="shared" si="4"/>
        <v>0</v>
      </c>
      <c r="L34" s="6"/>
    </row>
    <row r="35" spans="1:12" ht="12.75" customHeight="1" x14ac:dyDescent="0.25">
      <c r="A35" s="239" t="s">
        <v>499</v>
      </c>
      <c r="B35" s="492">
        <f>SUM('Table 3.28-REC Volume'!H27,'Table 3.28-REC Volume'!H34)</f>
        <v>514444.64049716428</v>
      </c>
      <c r="C35" s="241" t="s">
        <v>582</v>
      </c>
      <c r="D35" s="488">
        <f>F35/B35</f>
        <v>-2.2818856805313349E-2</v>
      </c>
      <c r="E35" s="151"/>
      <c r="F35" s="489">
        <f>SUM('Table 3.26-REC Detail NonACS'!K27,'Table 3.26-REC Detail NonACS'!K34)</f>
        <v>-11739.038585765697</v>
      </c>
      <c r="G35" s="12" t="s">
        <v>590</v>
      </c>
      <c r="H35" s="358">
        <f t="shared" si="3"/>
        <v>0.41013572572324625</v>
      </c>
      <c r="J35" s="551">
        <f t="shared" si="4"/>
        <v>-9.3588283960220273E-3</v>
      </c>
      <c r="L35" s="6"/>
    </row>
    <row r="36" spans="1:12" ht="12.75" customHeight="1" x14ac:dyDescent="0.25">
      <c r="A36" s="239" t="s">
        <v>677</v>
      </c>
      <c r="B36" s="492">
        <v>0</v>
      </c>
      <c r="C36" s="241"/>
      <c r="D36" s="488">
        <v>0</v>
      </c>
      <c r="E36" s="151"/>
      <c r="F36" s="494">
        <v>0</v>
      </c>
      <c r="G36" s="18"/>
      <c r="H36" s="358">
        <f t="shared" si="3"/>
        <v>0</v>
      </c>
      <c r="J36" s="551">
        <f t="shared" si="4"/>
        <v>0</v>
      </c>
      <c r="L36" s="6"/>
    </row>
    <row r="37" spans="1:12" ht="12.75" customHeight="1" x14ac:dyDescent="0.25">
      <c r="A37" s="239" t="s">
        <v>488</v>
      </c>
      <c r="B37" s="492">
        <f>'Table 3.18-Nixie UAA'!D33-B9</f>
        <v>45105.960938638163</v>
      </c>
      <c r="C37" s="481" t="s">
        <v>622</v>
      </c>
      <c r="D37" s="488">
        <f>'Table 3.18-Nixie UAA'!J33</f>
        <v>0.13468778971115383</v>
      </c>
      <c r="E37" s="12" t="s">
        <v>587</v>
      </c>
      <c r="F37" s="485">
        <f>B37*D37</f>
        <v>6075.2221816228157</v>
      </c>
      <c r="G37" s="18"/>
      <c r="H37" s="358">
        <f t="shared" si="3"/>
        <v>3.5960265824005085E-2</v>
      </c>
      <c r="J37" s="551">
        <f t="shared" si="4"/>
        <v>4.8434087212607885E-3</v>
      </c>
      <c r="L37" s="6"/>
    </row>
    <row r="38" spans="1:12" ht="12.75" customHeight="1" x14ac:dyDescent="0.25">
      <c r="A38" s="100" t="s">
        <v>102</v>
      </c>
      <c r="B38" s="492">
        <f>B31</f>
        <v>902119.21877276327</v>
      </c>
      <c r="C38" s="151"/>
      <c r="D38" s="151"/>
      <c r="E38" s="151"/>
      <c r="F38" s="485">
        <f>SUM(F31:F37)</f>
        <v>39369.841257667882</v>
      </c>
      <c r="G38" s="18"/>
      <c r="H38" s="142"/>
      <c r="I38" s="18"/>
      <c r="J38" s="552">
        <f>SUM(J31:J37)</f>
        <v>3.1387203101616572E-2</v>
      </c>
      <c r="L38" s="6"/>
    </row>
    <row r="39" spans="1:12" ht="5.0999999999999996" customHeight="1" x14ac:dyDescent="0.25">
      <c r="A39" s="100"/>
      <c r="B39" s="492"/>
      <c r="C39" s="151"/>
      <c r="D39" s="151"/>
      <c r="E39" s="151"/>
      <c r="F39" s="485"/>
      <c r="G39" s="18"/>
      <c r="H39" s="142"/>
      <c r="I39" s="18"/>
      <c r="J39" s="18"/>
      <c r="L39" s="6"/>
    </row>
    <row r="40" spans="1:12" ht="15.75" customHeight="1" x14ac:dyDescent="0.3">
      <c r="A40" s="157" t="s">
        <v>19</v>
      </c>
      <c r="B40" s="19"/>
      <c r="C40" s="19"/>
      <c r="D40" s="19"/>
      <c r="E40" s="19"/>
      <c r="F40" s="19"/>
      <c r="G40" s="19"/>
      <c r="H40" s="19"/>
      <c r="I40" s="19"/>
      <c r="J40" s="19"/>
      <c r="L40" s="6"/>
    </row>
    <row r="41" spans="1:12" ht="15.75" customHeight="1" x14ac:dyDescent="0.3">
      <c r="A41" s="158" t="s">
        <v>787</v>
      </c>
      <c r="B41" s="19"/>
      <c r="C41" s="19"/>
      <c r="D41" s="19"/>
      <c r="E41" s="19"/>
      <c r="F41" s="19"/>
      <c r="G41" s="19"/>
      <c r="H41" s="19"/>
      <c r="I41" s="19"/>
      <c r="J41" s="19"/>
      <c r="L41" s="6"/>
    </row>
    <row r="42" spans="1:12" ht="25.5" customHeight="1" x14ac:dyDescent="0.25">
      <c r="B42" s="168" t="s">
        <v>109</v>
      </c>
      <c r="C42" s="168"/>
      <c r="D42" s="169" t="s">
        <v>104</v>
      </c>
      <c r="E42" s="169"/>
      <c r="F42" s="168" t="s">
        <v>110</v>
      </c>
      <c r="G42" s="168"/>
      <c r="H42" s="170" t="s">
        <v>97</v>
      </c>
      <c r="I42" s="170"/>
      <c r="J42" s="171" t="s">
        <v>105</v>
      </c>
      <c r="L42" s="6"/>
    </row>
    <row r="43" spans="1:12" ht="12.75" customHeight="1" x14ac:dyDescent="0.25">
      <c r="A43" s="15" t="s">
        <v>608</v>
      </c>
      <c r="B43" s="492"/>
      <c r="C43" s="151"/>
      <c r="D43" s="151"/>
      <c r="E43" s="151"/>
      <c r="F43" s="485"/>
      <c r="G43" s="18"/>
      <c r="H43" s="142"/>
      <c r="I43" s="18"/>
      <c r="J43" s="18"/>
      <c r="L43" s="6"/>
    </row>
    <row r="44" spans="1:12" ht="12.75" customHeight="1" x14ac:dyDescent="0.25">
      <c r="A44" s="353" t="s">
        <v>481</v>
      </c>
      <c r="B44" s="492">
        <f>'Table 3.24-CIOSS Detail'!E15</f>
        <v>3808.9880768091007</v>
      </c>
      <c r="C44" s="241" t="s">
        <v>244</v>
      </c>
      <c r="D44" s="488">
        <f>F44/B44</f>
        <v>6.1698581461821923E-2</v>
      </c>
      <c r="E44" s="151"/>
      <c r="F44" s="485">
        <f>'Table 3.24-CIOSS Detail'!K15</f>
        <v>235.00916114411473</v>
      </c>
      <c r="G44" s="241" t="s">
        <v>244</v>
      </c>
      <c r="H44" s="358">
        <f>B44/$B$68</f>
        <v>3.0366767698144646E-3</v>
      </c>
      <c r="J44" s="551">
        <f>D44*H44</f>
        <v>1.8735864905562E-4</v>
      </c>
      <c r="L44" s="6"/>
    </row>
    <row r="45" spans="1:12" ht="12.75" customHeight="1" x14ac:dyDescent="0.25">
      <c r="A45" s="353" t="s">
        <v>95</v>
      </c>
      <c r="B45" s="492">
        <f>'Table 3.28-REC Volume'!G15</f>
        <v>1500.7413022627857</v>
      </c>
      <c r="C45" s="241" t="s">
        <v>582</v>
      </c>
      <c r="D45" s="488">
        <f>F45/B45</f>
        <v>0</v>
      </c>
      <c r="E45" s="151"/>
      <c r="F45" s="485">
        <v>0</v>
      </c>
      <c r="G45" s="18"/>
      <c r="H45" s="358">
        <f>B45/$B$68</f>
        <v>1.1964506473068992E-3</v>
      </c>
      <c r="J45" s="551">
        <f>D45*H45</f>
        <v>0</v>
      </c>
      <c r="L45" s="6"/>
    </row>
    <row r="46" spans="1:12" ht="12.75" customHeight="1" x14ac:dyDescent="0.25">
      <c r="A46" s="239" t="s">
        <v>499</v>
      </c>
      <c r="B46" s="32">
        <v>0</v>
      </c>
      <c r="C46" s="241"/>
      <c r="D46" s="488">
        <v>0</v>
      </c>
      <c r="E46" s="27"/>
      <c r="F46" s="489">
        <v>0</v>
      </c>
      <c r="H46" s="358">
        <f>B46/$B$68</f>
        <v>0</v>
      </c>
      <c r="J46" s="551">
        <f>D46*H46</f>
        <v>0</v>
      </c>
      <c r="L46" s="6"/>
    </row>
    <row r="47" spans="1:12" ht="12.75" customHeight="1" x14ac:dyDescent="0.25">
      <c r="A47" s="239" t="s">
        <v>677</v>
      </c>
      <c r="B47" s="492">
        <f>'Table 3.28-REC Volume'!H15</f>
        <v>2251.1119533941783</v>
      </c>
      <c r="C47" s="241" t="s">
        <v>582</v>
      </c>
      <c r="D47" s="488">
        <f>F47/B47</f>
        <v>4.6598146753307763E-2</v>
      </c>
      <c r="E47" s="490"/>
      <c r="F47" s="494">
        <f>SUM('Table 3.26-REC Detail NonACS'!K15)</f>
        <v>104.89764516238722</v>
      </c>
      <c r="G47" s="12" t="s">
        <v>590</v>
      </c>
      <c r="H47" s="358">
        <f>B47/$B$68</f>
        <v>1.7946759709603485E-3</v>
      </c>
      <c r="J47" s="551">
        <f>D47*H47</f>
        <v>8.3628574269445426E-5</v>
      </c>
      <c r="L47" s="6"/>
    </row>
    <row r="48" spans="1:12" ht="12.75" customHeight="1" x14ac:dyDescent="0.25">
      <c r="A48" s="239" t="s">
        <v>489</v>
      </c>
      <c r="B48" s="492">
        <v>57.13482115213651</v>
      </c>
      <c r="C48" s="481" t="s">
        <v>623</v>
      </c>
      <c r="D48" s="488">
        <f>'Table 3.21-CFS CIOSS Rejs'!I71</f>
        <v>2.2201699592231058E-2</v>
      </c>
      <c r="E48" s="241" t="s">
        <v>592</v>
      </c>
      <c r="F48" s="494">
        <f>B48*D48</f>
        <v>1.2684901354755835</v>
      </c>
      <c r="G48" s="18"/>
      <c r="H48" s="358">
        <f>B48/$B$68</f>
        <v>4.5550151547216971E-5</v>
      </c>
      <c r="J48" s="551">
        <f>D48*H48</f>
        <v>1.0112907810319099E-6</v>
      </c>
      <c r="L48" s="6"/>
    </row>
    <row r="49" spans="1:12" ht="12.75" customHeight="1" x14ac:dyDescent="0.25">
      <c r="A49" s="100" t="s">
        <v>102</v>
      </c>
      <c r="B49" s="492">
        <f>B44</f>
        <v>3808.9880768091007</v>
      </c>
      <c r="C49" s="151"/>
      <c r="D49" s="488">
        <f>F49/B49</f>
        <v>8.9571111686910274E-2</v>
      </c>
      <c r="E49" s="151"/>
      <c r="F49" s="485">
        <f>SUM(F44:F48)</f>
        <v>341.17529644197754</v>
      </c>
      <c r="G49" s="18"/>
      <c r="H49" s="142"/>
      <c r="I49" s="18"/>
      <c r="J49" s="552">
        <f>SUM(J44:J48)</f>
        <v>2.7199851410609734E-4</v>
      </c>
      <c r="L49" s="6"/>
    </row>
    <row r="50" spans="1:12" ht="5.0999999999999996" customHeight="1" x14ac:dyDescent="0.25">
      <c r="A50" s="100"/>
      <c r="B50" s="492"/>
      <c r="C50" s="151"/>
      <c r="D50" s="151"/>
      <c r="E50" s="151"/>
      <c r="F50" s="485"/>
      <c r="G50" s="18"/>
      <c r="H50" s="142"/>
      <c r="I50" s="18"/>
      <c r="J50" s="18"/>
      <c r="L50" s="6"/>
    </row>
    <row r="51" spans="1:12" ht="12.75" customHeight="1" x14ac:dyDescent="0.25">
      <c r="A51" s="15" t="s">
        <v>609</v>
      </c>
      <c r="B51" s="492"/>
      <c r="C51" s="151"/>
      <c r="D51" s="151"/>
      <c r="E51" s="151"/>
      <c r="F51" s="485"/>
      <c r="G51" s="18"/>
      <c r="H51" s="142"/>
      <c r="I51" s="18"/>
      <c r="J51" s="18"/>
      <c r="L51" s="6"/>
    </row>
    <row r="52" spans="1:12" ht="12.75" customHeight="1" x14ac:dyDescent="0.25">
      <c r="A52" s="353" t="s">
        <v>307</v>
      </c>
      <c r="B52" s="492">
        <f>'Table 3.16-Route UAA PARS'!D100</f>
        <v>88744.736715924359</v>
      </c>
      <c r="C52" s="490" t="s">
        <v>593</v>
      </c>
      <c r="D52" s="488">
        <f>F52/B52</f>
        <v>6.966198338589899E-2</v>
      </c>
      <c r="E52" s="151"/>
      <c r="F52" s="485">
        <f>'Table 3.16-Route UAA PARS'!J100</f>
        <v>6182.1343746907032</v>
      </c>
      <c r="G52" s="490" t="s">
        <v>593</v>
      </c>
      <c r="H52" s="358">
        <f t="shared" ref="H52:H58" si="5">B52/$B$68</f>
        <v>7.0750833290690457E-2</v>
      </c>
      <c r="J52" s="551">
        <f t="shared" ref="J52:J58" si="6">D52*H52</f>
        <v>4.9286433732345881E-3</v>
      </c>
      <c r="L52" s="6"/>
    </row>
    <row r="53" spans="1:12" ht="12.75" customHeight="1" x14ac:dyDescent="0.25">
      <c r="A53" s="353" t="s">
        <v>495</v>
      </c>
      <c r="B53" s="492">
        <f>'Table 3.18-Nixie UAA'!D10</f>
        <v>88744.736715924359</v>
      </c>
      <c r="C53" s="12" t="s">
        <v>587</v>
      </c>
      <c r="D53" s="488">
        <f>F53/B53</f>
        <v>6.8571260344913471E-3</v>
      </c>
      <c r="E53" s="151"/>
      <c r="F53" s="485">
        <f>'Table 3.18-Nixie UAA'!I10</f>
        <v>608.53384455884509</v>
      </c>
      <c r="G53" s="12" t="s">
        <v>587</v>
      </c>
      <c r="H53" s="358">
        <f t="shared" si="5"/>
        <v>7.0750833290690457E-2</v>
      </c>
      <c r="J53" s="551">
        <f t="shared" si="6"/>
        <v>4.8514738091955063E-4</v>
      </c>
      <c r="L53" s="6"/>
    </row>
    <row r="54" spans="1:12" ht="12.75" customHeight="1" x14ac:dyDescent="0.25">
      <c r="A54" s="353" t="s">
        <v>481</v>
      </c>
      <c r="B54" s="492">
        <f>SUM('Table 3.24-CIOSS Detail'!E30,'Table 3.24-CIOSS Detail'!E36)</f>
        <v>88744.736715924344</v>
      </c>
      <c r="C54" s="241" t="s">
        <v>244</v>
      </c>
      <c r="D54" s="488">
        <f>F54/B54</f>
        <v>3.1490740897428635E-2</v>
      </c>
      <c r="E54" s="151"/>
      <c r="F54" s="485">
        <f>SUM('Table 3.24-CIOSS Detail'!K30,'Table 3.24-CIOSS Detail'!K36)</f>
        <v>2794.6375099316951</v>
      </c>
      <c r="G54" s="241" t="s">
        <v>244</v>
      </c>
      <c r="H54" s="358">
        <f t="shared" si="5"/>
        <v>7.0750833290690443E-2</v>
      </c>
      <c r="J54" s="551">
        <f t="shared" si="6"/>
        <v>2.2279961594343007E-3</v>
      </c>
      <c r="L54" s="6"/>
    </row>
    <row r="55" spans="1:12" ht="12.75" customHeight="1" x14ac:dyDescent="0.25">
      <c r="A55" s="353" t="s">
        <v>95</v>
      </c>
      <c r="B55" s="492">
        <f>SUM('Table 3.28-REC Volume'!G30,'Table 3.28-REC Volume'!G36)</f>
        <v>34924.714666917062</v>
      </c>
      <c r="C55" s="241" t="s">
        <v>582</v>
      </c>
      <c r="D55" s="488">
        <f>F55/B55</f>
        <v>0</v>
      </c>
      <c r="E55" s="151"/>
      <c r="F55" s="485">
        <v>0</v>
      </c>
      <c r="G55" s="18"/>
      <c r="H55" s="358">
        <f t="shared" si="5"/>
        <v>2.784337141067424E-2</v>
      </c>
      <c r="J55" s="551">
        <f t="shared" si="6"/>
        <v>0</v>
      </c>
      <c r="L55" s="6"/>
    </row>
    <row r="56" spans="1:12" ht="12.75" customHeight="1" x14ac:dyDescent="0.25">
      <c r="A56" s="239" t="s">
        <v>499</v>
      </c>
      <c r="B56" s="32">
        <v>0</v>
      </c>
      <c r="D56" s="488">
        <v>0</v>
      </c>
      <c r="E56" s="27"/>
      <c r="F56" s="489">
        <v>0</v>
      </c>
      <c r="G56" s="18"/>
      <c r="H56" s="358">
        <f t="shared" si="5"/>
        <v>0</v>
      </c>
      <c r="J56" s="551">
        <f t="shared" si="6"/>
        <v>0</v>
      </c>
      <c r="L56" s="6"/>
    </row>
    <row r="57" spans="1:12" ht="12.75" customHeight="1" x14ac:dyDescent="0.25">
      <c r="A57" s="239" t="s">
        <v>677</v>
      </c>
      <c r="B57" s="492">
        <f>SUM('Table 3.28-REC Volume'!H30,'Table 3.28-REC Volume'!H36)</f>
        <v>52488.850998268412</v>
      </c>
      <c r="C57" s="241" t="s">
        <v>582</v>
      </c>
      <c r="D57" s="488">
        <f>F57/B57</f>
        <v>4.659814675330775E-2</v>
      </c>
      <c r="E57" s="490"/>
      <c r="F57" s="489">
        <f>SUM('Table 3.26-REC Detail NonACS'!K30,'Table 3.26-REC Detail NonACS'!K36)</f>
        <v>2445.8831817298155</v>
      </c>
      <c r="G57" s="12" t="s">
        <v>590</v>
      </c>
      <c r="H57" s="358">
        <f t="shared" si="5"/>
        <v>4.1846199380655841E-2</v>
      </c>
      <c r="J57" s="551">
        <f t="shared" si="6"/>
        <v>1.9499553398079766E-3</v>
      </c>
      <c r="L57" s="6"/>
    </row>
    <row r="58" spans="1:12" ht="12.75" customHeight="1" x14ac:dyDescent="0.25">
      <c r="A58" s="239" t="s">
        <v>489</v>
      </c>
      <c r="B58" s="492">
        <f>'Table 3.21-CFS CIOSS Rejs'!B71-B48</f>
        <v>1331.171050738865</v>
      </c>
      <c r="C58" s="481" t="s">
        <v>624</v>
      </c>
      <c r="D58" s="488">
        <f>'Table 3.21-CFS CIOSS Rejs'!I71</f>
        <v>2.2201699592231058E-2</v>
      </c>
      <c r="E58" s="241" t="s">
        <v>592</v>
      </c>
      <c r="F58" s="494">
        <f>B58*D58</f>
        <v>29.554259774378849</v>
      </c>
      <c r="G58" s="18"/>
      <c r="H58" s="358">
        <f t="shared" si="5"/>
        <v>1.0612624993603565E-3</v>
      </c>
      <c r="J58" s="551">
        <f t="shared" si="6"/>
        <v>2.3561831199298941E-5</v>
      </c>
      <c r="L58" s="6"/>
    </row>
    <row r="59" spans="1:12" ht="12.75" customHeight="1" x14ac:dyDescent="0.25">
      <c r="A59" s="100" t="s">
        <v>102</v>
      </c>
      <c r="B59" s="324">
        <f>B52</f>
        <v>88744.736715924359</v>
      </c>
      <c r="C59" s="18"/>
      <c r="D59" s="83">
        <f>F59/B59</f>
        <v>0.13590375741710053</v>
      </c>
      <c r="E59" s="18"/>
      <c r="F59" s="113">
        <f>SUM(F52:F58)</f>
        <v>12060.743170685439</v>
      </c>
      <c r="G59" s="18"/>
      <c r="H59" s="142"/>
      <c r="I59" s="18"/>
      <c r="J59" s="552">
        <f>SUM(J52:J58)</f>
        <v>9.615304084595714E-3</v>
      </c>
    </row>
    <row r="60" spans="1:12" ht="5.0999999999999996" customHeight="1" x14ac:dyDescent="0.25">
      <c r="A60" s="100"/>
      <c r="B60" s="324"/>
      <c r="C60" s="18"/>
      <c r="D60" s="18"/>
      <c r="E60" s="18"/>
      <c r="F60" s="113"/>
      <c r="G60" s="18"/>
      <c r="H60" s="142"/>
      <c r="I60" s="18"/>
      <c r="J60" s="18"/>
    </row>
    <row r="61" spans="1:12" ht="12.75" customHeight="1" x14ac:dyDescent="0.25">
      <c r="A61" s="15" t="s">
        <v>610</v>
      </c>
      <c r="B61" s="324"/>
      <c r="C61" s="18"/>
      <c r="D61" s="18"/>
      <c r="E61" s="18"/>
      <c r="F61" s="113"/>
      <c r="G61" s="18"/>
      <c r="H61" s="142"/>
      <c r="I61" s="18"/>
      <c r="J61" s="18"/>
    </row>
    <row r="62" spans="1:12" ht="12.75" customHeight="1" x14ac:dyDescent="0.25">
      <c r="A62" s="353" t="s">
        <v>320</v>
      </c>
      <c r="B62" s="6">
        <f>SUM(B10,B18,B28,B38,B49,B59)</f>
        <v>1254327.7950000002</v>
      </c>
      <c r="D62" s="83">
        <f>'Table 3.30-UAA MP Cost'!D24</f>
        <v>0.39323339099444526</v>
      </c>
      <c r="E62" s="12" t="s">
        <v>626</v>
      </c>
      <c r="F62" s="113">
        <f>B62*D62</f>
        <v>493243.57224643545</v>
      </c>
      <c r="G62" s="18"/>
      <c r="H62" s="358">
        <f>B62/$B$68</f>
        <v>1</v>
      </c>
      <c r="J62" s="551">
        <f>D62*H62</f>
        <v>0.39323339099444526</v>
      </c>
    </row>
    <row r="63" spans="1:12" x14ac:dyDescent="0.25">
      <c r="A63" s="353" t="s">
        <v>99</v>
      </c>
      <c r="B63" s="6">
        <f>'Table 3.35-PD Vols'!B14</f>
        <v>4427.0826310645789</v>
      </c>
      <c r="C63" s="12" t="s">
        <v>625</v>
      </c>
      <c r="D63" s="83">
        <f>'Table 3.32-Accounting Post Due'!I13</f>
        <v>2.8560679544268806</v>
      </c>
      <c r="E63" s="12" t="s">
        <v>627</v>
      </c>
      <c r="F63" s="113">
        <f>B63*D63</f>
        <v>12644.048834183384</v>
      </c>
      <c r="G63" s="18"/>
      <c r="H63" s="358">
        <f>B63/$B$68</f>
        <v>3.5294463287123272E-3</v>
      </c>
      <c r="J63" s="551">
        <f>D63*H63</f>
        <v>1.008033855630488E-2</v>
      </c>
    </row>
    <row r="64" spans="1:12" x14ac:dyDescent="0.25">
      <c r="A64" s="353" t="s">
        <v>100</v>
      </c>
      <c r="B64" s="6">
        <f>'Table 3.35-PD Vols'!B15</f>
        <v>3664.6606454625644</v>
      </c>
      <c r="C64" s="12" t="s">
        <v>625</v>
      </c>
      <c r="D64" s="83">
        <f>'Table 3.33-Delivery Post Due'!I20</f>
        <v>0.86611479302919459</v>
      </c>
      <c r="E64" s="12" t="s">
        <v>628</v>
      </c>
      <c r="F64" s="113">
        <f>B64*D64</f>
        <v>3174.0167964670436</v>
      </c>
      <c r="G64" s="18"/>
      <c r="H64" s="358">
        <f>B64/$B$68</f>
        <v>2.9216132019641355E-3</v>
      </c>
      <c r="J64" s="551">
        <f>D64*H64</f>
        <v>2.5304524137305297E-3</v>
      </c>
    </row>
    <row r="65" spans="1:11" x14ac:dyDescent="0.25">
      <c r="A65" s="497" t="s">
        <v>210</v>
      </c>
      <c r="B65" s="6">
        <f>'Table 3.35-PD Vols'!B16</f>
        <v>420.6193148675174</v>
      </c>
      <c r="C65" s="12" t="s">
        <v>625</v>
      </c>
      <c r="D65" s="83">
        <f>'Table 3.34-Window Post Due'!I13</f>
        <v>0.45498126298827479</v>
      </c>
      <c r="E65" s="12" t="s">
        <v>629</v>
      </c>
      <c r="F65" s="113">
        <f>B65*D65</f>
        <v>191.37390711568591</v>
      </c>
      <c r="G65" s="18"/>
      <c r="H65" s="358">
        <f>B65/$B$68</f>
        <v>3.3533444490681745E-4</v>
      </c>
      <c r="J65" s="551">
        <f>D65*H65</f>
        <v>1.5257088926717586E-4</v>
      </c>
    </row>
    <row r="66" spans="1:11" x14ac:dyDescent="0.25">
      <c r="A66" s="100" t="s">
        <v>102</v>
      </c>
      <c r="B66" s="324">
        <f>B62</f>
        <v>1254327.7950000002</v>
      </c>
      <c r="C66" s="18"/>
      <c r="D66" s="83">
        <f>F66/B66</f>
        <v>0.40599675285374781</v>
      </c>
      <c r="E66" s="18"/>
      <c r="F66" s="175">
        <f>SUM(F62:F65)</f>
        <v>509253.01178420155</v>
      </c>
      <c r="G66" s="18"/>
      <c r="H66" s="142"/>
      <c r="I66" s="18"/>
      <c r="J66" s="552">
        <f>SUM(J62:J65)</f>
        <v>0.40599675285374781</v>
      </c>
    </row>
    <row r="67" spans="1:11" ht="5.0999999999999996" customHeight="1" x14ac:dyDescent="0.25">
      <c r="A67" s="91"/>
      <c r="B67" s="324"/>
      <c r="C67" s="18"/>
      <c r="D67" s="83"/>
      <c r="E67" s="18"/>
      <c r="F67" s="175"/>
      <c r="G67" s="18"/>
      <c r="H67" s="142"/>
      <c r="I67" s="18"/>
      <c r="J67" s="18"/>
    </row>
    <row r="68" spans="1:11" x14ac:dyDescent="0.25">
      <c r="A68" s="91" t="s">
        <v>504</v>
      </c>
      <c r="B68" s="393">
        <f>SUM(B10,B18,B28,B38,B49,B59)</f>
        <v>1254327.7950000002</v>
      </c>
      <c r="C68" s="18"/>
      <c r="D68" s="83"/>
      <c r="E68" s="18"/>
      <c r="F68" s="510">
        <f>SUM(F10,F18,F28,F38,F49,F59,F66)</f>
        <v>595145.9591712642</v>
      </c>
      <c r="G68" s="18"/>
      <c r="H68" s="142"/>
      <c r="I68" s="18"/>
      <c r="J68" s="413">
        <f>SUM(J10,J18,J28,J38,J49,J59,J66)</f>
        <v>0.47447402628215229</v>
      </c>
    </row>
    <row r="69" spans="1:11" hidden="1" x14ac:dyDescent="0.25">
      <c r="A69" s="91"/>
      <c r="B69" s="324"/>
      <c r="C69" s="18"/>
      <c r="D69" s="83"/>
      <c r="E69" s="18"/>
      <c r="F69" s="175"/>
      <c r="G69" s="18"/>
      <c r="H69" s="142"/>
      <c r="I69" s="18"/>
      <c r="J69" s="18"/>
    </row>
    <row r="70" spans="1:11" hidden="1" x14ac:dyDescent="0.25">
      <c r="A70" s="5"/>
      <c r="B70" s="240"/>
      <c r="F70" s="359"/>
      <c r="H70" s="6"/>
      <c r="J70" s="6"/>
    </row>
    <row r="71" spans="1:11" hidden="1" x14ac:dyDescent="0.25">
      <c r="A71" s="23" t="s">
        <v>191</v>
      </c>
      <c r="B71" s="143">
        <f>B5-SUM(B6:B9)</f>
        <v>0</v>
      </c>
      <c r="G71" s="482" t="s">
        <v>311</v>
      </c>
      <c r="H71" s="6">
        <f>SUM('Table 3.16-Route UAA PARS'!J99,'Table 3.16-Route UAA PARS'!J100,'Table 3.16-Route UAA PARS'!J107)</f>
        <v>71153.148909861586</v>
      </c>
      <c r="J71" s="6">
        <f>SUM(F21,F31,F52)</f>
        <v>71153.148909861571</v>
      </c>
      <c r="K71" s="143">
        <f t="shared" ref="K71:K78" si="7">H71-J71</f>
        <v>0</v>
      </c>
    </row>
    <row r="72" spans="1:11" hidden="1" x14ac:dyDescent="0.25">
      <c r="A72" s="5"/>
      <c r="B72" s="143">
        <f>B13-SUM(B14:B17)</f>
        <v>0</v>
      </c>
      <c r="G72" s="46" t="s">
        <v>312</v>
      </c>
      <c r="H72" s="6">
        <f>SUM('Table 3.18-Nixie UAA'!I7,'Table 3.18-Nixie UAA'!I9,'Table 3.18-Nixie UAA'!I10,'Table 3.18-Nixie UAA'!I33,'Table 3.18-Nixie UAA'!I34)</f>
        <v>14334.453877190736</v>
      </c>
      <c r="J72" s="6">
        <f>SUM(F9,F22,F32,F37,F53)</f>
        <v>14334.453877190736</v>
      </c>
      <c r="K72" s="143">
        <f t="shared" si="7"/>
        <v>0</v>
      </c>
    </row>
    <row r="73" spans="1:11" hidden="1" x14ac:dyDescent="0.25">
      <c r="A73" s="5"/>
      <c r="B73" s="143">
        <f>B28-SUM(B24:B27)</f>
        <v>0</v>
      </c>
      <c r="G73" s="46" t="s">
        <v>313</v>
      </c>
      <c r="H73" s="6">
        <f>SUM('Table 3.21-CFS CIOSS Rejs'!H14,'Table 3.21-CFS CIOSS Rejs'!H71)</f>
        <v>3237.3047573635672</v>
      </c>
      <c r="J73" s="6">
        <f>SUM(F17,F27,F48,F58)</f>
        <v>3237.3047573635672</v>
      </c>
      <c r="K73" s="143">
        <f t="shared" si="7"/>
        <v>0</v>
      </c>
    </row>
    <row r="74" spans="1:11" hidden="1" x14ac:dyDescent="0.25">
      <c r="A74" s="5"/>
      <c r="B74" s="143">
        <f>B33-SUM(B34:B37)</f>
        <v>0</v>
      </c>
      <c r="G74" s="483" t="s">
        <v>502</v>
      </c>
      <c r="H74" s="6">
        <f>SUM('Table 3.23-CIOSS Summary'!I5,'Table 3.23-CIOSS Summary'!I9,'Table 3.23-CIOSS Summary'!I12)</f>
        <v>-7500.4884199948428</v>
      </c>
      <c r="J74" s="6">
        <f>SUM(F5,F13,F23,F33,F44,F54)</f>
        <v>-7500.4884199948447</v>
      </c>
      <c r="K74" s="143">
        <f t="shared" si="7"/>
        <v>0</v>
      </c>
    </row>
    <row r="75" spans="1:11" hidden="1" x14ac:dyDescent="0.25">
      <c r="A75" s="5"/>
      <c r="B75" s="143">
        <f>B44-SUM(B45:B48)</f>
        <v>0</v>
      </c>
      <c r="G75" s="483" t="s">
        <v>503</v>
      </c>
      <c r="H75" s="6">
        <f>SUM('Table 3.25-REC Summary'!K5,'Table 3.25-REC Summary'!K9,'Table 3.25-REC Summary'!K12)</f>
        <v>4668.5282626416456</v>
      </c>
      <c r="J75" s="6">
        <f>SUM(F7:F8,F15:F16,F25:F26,F35:F36,F46:F47,F56:F57)</f>
        <v>4668.528262641642</v>
      </c>
      <c r="K75" s="143">
        <f t="shared" si="7"/>
        <v>0</v>
      </c>
    </row>
    <row r="76" spans="1:11" hidden="1" x14ac:dyDescent="0.25">
      <c r="A76" s="5"/>
      <c r="B76" s="143">
        <f>B54-SUM(B55:B58)</f>
        <v>0</v>
      </c>
      <c r="G76" s="67" t="s">
        <v>518</v>
      </c>
      <c r="H76" s="32">
        <f>'Table 3.30-UAA MP Cost'!F24</f>
        <v>493243.57224643551</v>
      </c>
      <c r="J76" s="6">
        <f>F62</f>
        <v>493243.57224643545</v>
      </c>
      <c r="K76" s="143">
        <f t="shared" si="7"/>
        <v>0</v>
      </c>
    </row>
    <row r="77" spans="1:11" hidden="1" x14ac:dyDescent="0.25">
      <c r="A77" s="5"/>
      <c r="B77" s="143">
        <f>B68-SUM('Table 3.23-CIOSS Summary'!C5,'Table 3.23-CIOSS Summary'!C9,'Table 3.23-CIOSS Summary'!C12)</f>
        <v>0</v>
      </c>
      <c r="G77" s="67" t="s">
        <v>315</v>
      </c>
      <c r="H77" s="32">
        <f>SUM(F63:F65)</f>
        <v>16009.439537766113</v>
      </c>
      <c r="I77" s="27"/>
      <c r="J77" s="32">
        <f>SUM(F63:F65)</f>
        <v>16009.439537766113</v>
      </c>
      <c r="K77" s="143">
        <f t="shared" si="7"/>
        <v>0</v>
      </c>
    </row>
    <row r="78" spans="1:11" hidden="1" x14ac:dyDescent="0.25">
      <c r="A78" s="5"/>
      <c r="B78" s="240"/>
      <c r="G78" s="46" t="s">
        <v>314</v>
      </c>
      <c r="H78" s="6">
        <f>SUM(H71:H77)</f>
        <v>595145.95917126432</v>
      </c>
      <c r="J78" s="6">
        <f>SUM(J71:J77)</f>
        <v>595145.95917126432</v>
      </c>
      <c r="K78" s="143">
        <f t="shared" si="7"/>
        <v>0</v>
      </c>
    </row>
    <row r="79" spans="1:11" x14ac:dyDescent="0.25">
      <c r="A79" s="283"/>
      <c r="B79" s="283"/>
      <c r="C79" s="283"/>
      <c r="D79" s="283"/>
      <c r="E79" s="283"/>
      <c r="F79" s="283"/>
      <c r="H79" s="240"/>
    </row>
    <row r="80" spans="1:11" x14ac:dyDescent="0.25">
      <c r="A80" s="284" t="s">
        <v>235</v>
      </c>
    </row>
    <row r="81" spans="1:5" x14ac:dyDescent="0.25">
      <c r="A81" s="241" t="s">
        <v>779</v>
      </c>
      <c r="D81" s="12"/>
      <c r="E81" s="241" t="s">
        <v>620</v>
      </c>
    </row>
    <row r="82" spans="1:5" x14ac:dyDescent="0.25">
      <c r="A82" s="241" t="s">
        <v>66</v>
      </c>
      <c r="D82" s="12"/>
      <c r="E82" s="241" t="s">
        <v>621</v>
      </c>
    </row>
    <row r="83" spans="1:5" x14ac:dyDescent="0.25">
      <c r="A83" s="241" t="s">
        <v>611</v>
      </c>
      <c r="D83" s="12"/>
      <c r="E83" s="241" t="s">
        <v>78</v>
      </c>
    </row>
    <row r="84" spans="1:5" x14ac:dyDescent="0.25">
      <c r="A84" s="241" t="s">
        <v>612</v>
      </c>
      <c r="E84" s="241" t="s">
        <v>780</v>
      </c>
    </row>
    <row r="85" spans="1:5" x14ac:dyDescent="0.25">
      <c r="A85" s="241" t="s">
        <v>15</v>
      </c>
      <c r="E85" s="241" t="s">
        <v>16</v>
      </c>
    </row>
    <row r="86" spans="1:5" x14ac:dyDescent="0.25">
      <c r="A86" s="241" t="s">
        <v>17</v>
      </c>
      <c r="E86" s="241" t="s">
        <v>30</v>
      </c>
    </row>
    <row r="87" spans="1:5" x14ac:dyDescent="0.25">
      <c r="A87" s="241" t="s">
        <v>613</v>
      </c>
      <c r="E87" s="241" t="s">
        <v>691</v>
      </c>
    </row>
    <row r="88" spans="1:5" x14ac:dyDescent="0.25">
      <c r="A88" s="12" t="s">
        <v>614</v>
      </c>
      <c r="E88" s="241" t="s">
        <v>692</v>
      </c>
    </row>
    <row r="89" spans="1:5" x14ac:dyDescent="0.25">
      <c r="A89" s="12" t="s">
        <v>690</v>
      </c>
      <c r="E89" s="241" t="s">
        <v>693</v>
      </c>
    </row>
    <row r="90" spans="1:5" x14ac:dyDescent="0.25">
      <c r="A90" s="241" t="s">
        <v>77</v>
      </c>
      <c r="E90" s="241" t="s">
        <v>694</v>
      </c>
    </row>
    <row r="91" spans="1:5" x14ac:dyDescent="0.25">
      <c r="A91" s="241" t="s">
        <v>617</v>
      </c>
      <c r="E91" s="241" t="s">
        <v>695</v>
      </c>
    </row>
    <row r="92" spans="1:5" x14ac:dyDescent="0.25">
      <c r="A92" s="241" t="s">
        <v>618</v>
      </c>
      <c r="E92" s="241" t="s">
        <v>44</v>
      </c>
    </row>
    <row r="93" spans="1:5" x14ac:dyDescent="0.25">
      <c r="A93" s="241" t="s">
        <v>79</v>
      </c>
    </row>
  </sheetData>
  <phoneticPr fontId="5" type="noConversion"/>
  <printOptions horizontalCentered="1"/>
  <pageMargins left="0.75" right="0.75" top="1" bottom="1" header="0.5" footer="0.5"/>
  <pageSetup scale="82" fitToHeight="2" orientation="landscape" r:id="rId1"/>
  <headerFooter alignWithMargins="0">
    <oddFooter>&amp;L&amp;F</oddFooter>
  </headerFooter>
  <rowBreaks count="1" manualBreakCount="1">
    <brk id="3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L46"/>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 min="11" max="11" width="12.6640625" bestFit="1" customWidth="1"/>
  </cols>
  <sheetData>
    <row r="1" spans="1:12" s="13" customFormat="1" ht="15.6" x14ac:dyDescent="0.3">
      <c r="A1" s="157" t="s">
        <v>550</v>
      </c>
      <c r="B1" s="19"/>
      <c r="C1" s="19"/>
      <c r="D1" s="19"/>
      <c r="E1" s="19"/>
      <c r="F1" s="19"/>
      <c r="G1" s="19"/>
      <c r="H1" s="19"/>
      <c r="I1" s="19"/>
      <c r="J1" s="19"/>
    </row>
    <row r="2" spans="1:12" s="13" customFormat="1" ht="15.6" x14ac:dyDescent="0.3">
      <c r="A2" s="158" t="s">
        <v>787</v>
      </c>
      <c r="B2" s="19"/>
      <c r="C2" s="19"/>
      <c r="D2" s="19"/>
      <c r="E2" s="19"/>
      <c r="F2" s="19"/>
      <c r="G2" s="19"/>
      <c r="H2" s="19"/>
      <c r="I2" s="19"/>
      <c r="J2" s="19"/>
    </row>
    <row r="3" spans="1:12" ht="26.4" x14ac:dyDescent="0.25">
      <c r="B3" s="168" t="s">
        <v>109</v>
      </c>
      <c r="C3" s="168"/>
      <c r="D3" s="169" t="s">
        <v>104</v>
      </c>
      <c r="E3" s="169"/>
      <c r="F3" s="168" t="s">
        <v>110</v>
      </c>
      <c r="G3" s="168"/>
      <c r="H3" s="170" t="s">
        <v>97</v>
      </c>
      <c r="I3" s="170"/>
      <c r="J3" s="171" t="s">
        <v>105</v>
      </c>
    </row>
    <row r="4" spans="1:12" ht="12.75" customHeight="1" x14ac:dyDescent="0.25">
      <c r="A4" s="333" t="s">
        <v>630</v>
      </c>
    </row>
    <row r="5" spans="1:12" ht="12.75" customHeight="1" x14ac:dyDescent="0.25">
      <c r="A5" s="353" t="s">
        <v>307</v>
      </c>
      <c r="B5" s="32">
        <f>'Table 3.15-Route UAA NoPARS'!D99</f>
        <v>47349.203136856289</v>
      </c>
      <c r="C5" s="241" t="s">
        <v>241</v>
      </c>
      <c r="D5" s="488">
        <f>F5/B5</f>
        <v>0.11397173972073978</v>
      </c>
      <c r="E5" s="27"/>
      <c r="F5" s="113">
        <f>'Table 3.15-Route UAA NoPARS'!J99</f>
        <v>5396.4710558982206</v>
      </c>
      <c r="G5" s="241" t="s">
        <v>241</v>
      </c>
      <c r="H5" s="358">
        <f>B5/$B$29</f>
        <v>0.56479507442555665</v>
      </c>
      <c r="J5" s="22">
        <f>D5*H5</f>
        <v>6.4370677217985395E-2</v>
      </c>
    </row>
    <row r="6" spans="1:12" ht="12.75" customHeight="1" x14ac:dyDescent="0.25">
      <c r="A6" s="239" t="s">
        <v>520</v>
      </c>
      <c r="B6" s="32">
        <f>SUM('Table 3.18-Nixie UAA'!D16,'Table 3.18-Nixie UAA'!D19,'Table 3.18-Nixie UAA'!D25,'Table 3.18-Nixie UAA'!D28)</f>
        <v>47349.203136856282</v>
      </c>
      <c r="C6" s="241" t="s">
        <v>242</v>
      </c>
      <c r="D6" s="488">
        <f>F6/B6</f>
        <v>0.38162691119511705</v>
      </c>
      <c r="E6" s="27"/>
      <c r="F6" s="113">
        <f>SUM('Table 3.18-Nixie UAA'!I16,'Table 3.18-Nixie UAA'!I19,'Table 3.18-Nixie UAA'!I25,'Table 3.18-Nixie UAA'!I28)</f>
        <v>18069.730140668609</v>
      </c>
      <c r="G6" s="241" t="s">
        <v>242</v>
      </c>
      <c r="H6" s="358">
        <f>B6/$B$29</f>
        <v>0.56479507442555665</v>
      </c>
      <c r="J6" s="22">
        <f>D6*H6</f>
        <v>0.21554099971124144</v>
      </c>
    </row>
    <row r="7" spans="1:12" ht="12.75" customHeight="1" x14ac:dyDescent="0.25">
      <c r="A7" s="353" t="s">
        <v>98</v>
      </c>
      <c r="B7" s="32">
        <f>SUM('Table 3.31-Rating Post Due'!B14,'Table 3.31-Rating Post Due'!B25)</f>
        <v>3957.0416166459245</v>
      </c>
      <c r="C7" s="241" t="s">
        <v>243</v>
      </c>
      <c r="D7" s="488">
        <f>F7/B7</f>
        <v>0.24700442934917882</v>
      </c>
      <c r="E7" s="27"/>
      <c r="F7" s="113">
        <f>SUM('Table 3.31-Rating Post Due'!H14,'Table 3.31-Rating Post Due'!H25)</f>
        <v>977.40680643057863</v>
      </c>
      <c r="G7" s="241" t="s">
        <v>243</v>
      </c>
      <c r="H7" s="358">
        <f>B7/$B$29</f>
        <v>4.7200743968569894E-2</v>
      </c>
      <c r="J7" s="22">
        <f>D7*H7</f>
        <v>1.16587928288133E-2</v>
      </c>
    </row>
    <row r="8" spans="1:12" ht="12.75" customHeight="1" x14ac:dyDescent="0.25">
      <c r="A8" s="353" t="s">
        <v>102</v>
      </c>
      <c r="B8" s="32">
        <f>B5</f>
        <v>47349.203136856289</v>
      </c>
      <c r="C8" s="27"/>
      <c r="D8" s="488">
        <f>F8/B8</f>
        <v>0.51624116951549437</v>
      </c>
      <c r="E8" s="27"/>
      <c r="F8" s="113">
        <f>SUM(F5:F7)</f>
        <v>24443.608002997407</v>
      </c>
      <c r="J8" s="22">
        <f>SUM(J5:J7)</f>
        <v>0.29157046975804013</v>
      </c>
    </row>
    <row r="9" spans="1:12" ht="5.0999999999999996" customHeight="1" x14ac:dyDescent="0.25">
      <c r="B9" s="32"/>
      <c r="C9" s="27"/>
      <c r="D9" s="488"/>
      <c r="E9" s="27"/>
      <c r="F9" s="113"/>
      <c r="H9" s="6"/>
      <c r="K9" s="6"/>
    </row>
    <row r="10" spans="1:12" ht="12.75" customHeight="1" x14ac:dyDescent="0.25">
      <c r="A10" s="15" t="s">
        <v>631</v>
      </c>
      <c r="B10" s="32"/>
      <c r="C10" s="27"/>
      <c r="D10" s="488"/>
      <c r="E10" s="27"/>
      <c r="F10" s="113"/>
      <c r="H10" s="142"/>
    </row>
    <row r="11" spans="1:12" ht="12.75" customHeight="1" x14ac:dyDescent="0.25">
      <c r="A11" s="353" t="s">
        <v>307</v>
      </c>
      <c r="B11" s="32">
        <f>'Table 3.15-Route UAA NoPARS'!D107</f>
        <v>28535.367679488798</v>
      </c>
      <c r="C11" s="241" t="s">
        <v>241</v>
      </c>
      <c r="D11" s="488">
        <f>F11/B11</f>
        <v>6.984997358843005E-2</v>
      </c>
      <c r="E11" s="27"/>
      <c r="F11" s="113">
        <f>'Table 3.15-Route UAA NoPARS'!J107</f>
        <v>1993.194678748433</v>
      </c>
      <c r="G11" s="241" t="s">
        <v>241</v>
      </c>
      <c r="H11" s="358">
        <f>B11/$B$29</f>
        <v>0.34037816994965275</v>
      </c>
      <c r="J11" s="22">
        <f>D11*H11</f>
        <v>2.3775406181061401E-2</v>
      </c>
    </row>
    <row r="12" spans="1:12" ht="12.75" customHeight="1" x14ac:dyDescent="0.25">
      <c r="A12" s="239" t="s">
        <v>96</v>
      </c>
      <c r="B12" s="32">
        <f>'Table 3.20-CFS Non-CIOSS'!B14</f>
        <v>28535.367679488794</v>
      </c>
      <c r="C12" s="241" t="s">
        <v>244</v>
      </c>
      <c r="D12" s="488">
        <f>F12/B12</f>
        <v>0.27846479120202999</v>
      </c>
      <c r="E12" s="27"/>
      <c r="F12" s="113">
        <f>'Table 3.20-CFS Non-CIOSS'!H14</f>
        <v>7946.0952027420026</v>
      </c>
      <c r="G12" s="241" t="s">
        <v>244</v>
      </c>
      <c r="H12" s="358">
        <f>B12/$B$29</f>
        <v>0.3403781699496527</v>
      </c>
      <c r="J12" s="22">
        <f>D12*H12</f>
        <v>9.4783336024759121E-2</v>
      </c>
      <c r="K12" s="165"/>
      <c r="L12" s="6"/>
    </row>
    <row r="13" spans="1:12" ht="12.75" customHeight="1" x14ac:dyDescent="0.25">
      <c r="A13" s="239" t="s">
        <v>310</v>
      </c>
      <c r="B13" s="32">
        <f>'Table 3.20-CFS Non-CIOSS'!B50+'Table 3.20-CFS Non-CIOSS'!B61</f>
        <v>4036.3560998416533</v>
      </c>
      <c r="C13" s="241" t="s">
        <v>244</v>
      </c>
      <c r="D13" s="488">
        <f>F13/B13</f>
        <v>0.36466584812229053</v>
      </c>
      <c r="E13" s="27"/>
      <c r="F13" s="113">
        <f>'Table 3.20-CFS Non-CIOSS'!H50+'Table 3.20-CFS Non-CIOSS'!H61</f>
        <v>1471.9212204723374</v>
      </c>
      <c r="G13" s="241" t="s">
        <v>244</v>
      </c>
      <c r="H13" s="358">
        <f>B13/$B$29</f>
        <v>4.8146830205968195E-2</v>
      </c>
      <c r="J13" s="22">
        <f>D13*H13</f>
        <v>1.7557504671459306E-2</v>
      </c>
      <c r="K13" s="165"/>
      <c r="L13" s="6"/>
    </row>
    <row r="14" spans="1:12" ht="12.75" customHeight="1" x14ac:dyDescent="0.25">
      <c r="A14" s="353" t="s">
        <v>102</v>
      </c>
      <c r="B14" s="32">
        <f>B11</f>
        <v>28535.367679488798</v>
      </c>
      <c r="C14" s="27"/>
      <c r="D14" s="488">
        <f>F14/B14</f>
        <v>0.39989711119668325</v>
      </c>
      <c r="E14" s="27"/>
      <c r="F14" s="113">
        <f>SUM(F11:F13)</f>
        <v>11411.211101962774</v>
      </c>
      <c r="H14" s="142"/>
      <c r="J14" s="22">
        <f>SUM(J11:J13)</f>
        <v>0.13611624687727983</v>
      </c>
      <c r="K14" s="165"/>
      <c r="L14" s="6"/>
    </row>
    <row r="15" spans="1:12" ht="5.0999999999999996" customHeight="1" x14ac:dyDescent="0.25">
      <c r="B15" s="32"/>
      <c r="C15" s="27"/>
      <c r="D15" s="488"/>
      <c r="E15" s="27"/>
      <c r="F15" s="113"/>
      <c r="H15" s="142"/>
      <c r="K15" s="165"/>
      <c r="L15" s="6"/>
    </row>
    <row r="16" spans="1:12" ht="12.75" customHeight="1" x14ac:dyDescent="0.25">
      <c r="A16" s="15" t="s">
        <v>632</v>
      </c>
      <c r="B16" s="32"/>
      <c r="C16" s="27"/>
      <c r="D16" s="488"/>
      <c r="E16" s="27"/>
      <c r="F16" s="113"/>
      <c r="H16" s="142"/>
      <c r="L16" s="6"/>
    </row>
    <row r="17" spans="1:12" ht="12.75" customHeight="1" x14ac:dyDescent="0.25">
      <c r="A17" s="353" t="s">
        <v>307</v>
      </c>
      <c r="B17" s="32">
        <f>'Table 3.15-Route UAA NoPARS'!D100</f>
        <v>7949.735254780524</v>
      </c>
      <c r="C17" s="241" t="s">
        <v>241</v>
      </c>
      <c r="D17" s="488">
        <f>F17/B17</f>
        <v>9.1323953072177222E-2</v>
      </c>
      <c r="E17" s="27"/>
      <c r="F17" s="113">
        <f>'Table 3.15-Route UAA NoPARS'!J100</f>
        <v>726.00124934380938</v>
      </c>
      <c r="G17" s="241" t="s">
        <v>241</v>
      </c>
      <c r="H17" s="358">
        <f>B17/$B$29</f>
        <v>9.4826755624790565E-2</v>
      </c>
      <c r="J17" s="22">
        <f>D17*H17</f>
        <v>8.6599541806651904E-3</v>
      </c>
      <c r="L17" s="6"/>
    </row>
    <row r="18" spans="1:12" ht="12.75" customHeight="1" x14ac:dyDescent="0.25">
      <c r="A18" s="353" t="s">
        <v>309</v>
      </c>
      <c r="B18" s="32">
        <v>0</v>
      </c>
      <c r="C18" s="241" t="s">
        <v>242</v>
      </c>
      <c r="D18" s="488">
        <v>0</v>
      </c>
      <c r="E18" s="27"/>
      <c r="F18" s="113">
        <v>0</v>
      </c>
      <c r="G18" s="241" t="s">
        <v>242</v>
      </c>
      <c r="H18" s="358">
        <f>B18/$B$29</f>
        <v>0</v>
      </c>
      <c r="J18" s="22">
        <f>D18*H18</f>
        <v>0</v>
      </c>
    </row>
    <row r="19" spans="1:12" ht="12.75" customHeight="1" x14ac:dyDescent="0.25">
      <c r="A19" s="82" t="s">
        <v>96</v>
      </c>
      <c r="B19" s="32">
        <f>'Table 3.20-CFS Non-CIOSS'!B71</f>
        <v>7949.7352547805231</v>
      </c>
      <c r="C19" s="241" t="s">
        <v>244</v>
      </c>
      <c r="D19" s="488">
        <f>F19/B19</f>
        <v>2.2201699592231131E-2</v>
      </c>
      <c r="E19" s="27"/>
      <c r="F19" s="113">
        <f>'Table 3.20-CFS Non-CIOSS'!H71</f>
        <v>176.49763396440619</v>
      </c>
      <c r="G19" s="241" t="s">
        <v>244</v>
      </c>
      <c r="H19" s="358">
        <f>B19/$B$29</f>
        <v>9.4826755624790551E-2</v>
      </c>
      <c r="J19" s="22">
        <f>D19*H19</f>
        <v>2.1053151416875132E-3</v>
      </c>
    </row>
    <row r="20" spans="1:12" ht="12.75" customHeight="1" x14ac:dyDescent="0.25">
      <c r="A20" s="100" t="s">
        <v>102</v>
      </c>
      <c r="B20" s="32">
        <f>B17</f>
        <v>7949.735254780524</v>
      </c>
      <c r="C20" s="27"/>
      <c r="D20" s="488">
        <f>F20/B20</f>
        <v>0.11352565266440835</v>
      </c>
      <c r="E20" s="27"/>
      <c r="F20" s="113">
        <f>SUM(F17:F19)</f>
        <v>902.49888330821557</v>
      </c>
      <c r="J20" s="22">
        <f>SUM(J17:J19)</f>
        <v>1.0765269322352704E-2</v>
      </c>
    </row>
    <row r="21" spans="1:12" ht="5.0999999999999996" customHeight="1" x14ac:dyDescent="0.25">
      <c r="A21" s="100"/>
      <c r="B21" s="324"/>
      <c r="C21" s="18"/>
      <c r="D21" s="18"/>
      <c r="E21" s="18"/>
      <c r="F21" s="113"/>
      <c r="G21" s="18"/>
      <c r="H21" s="142"/>
      <c r="I21" s="18"/>
      <c r="J21" s="18"/>
    </row>
    <row r="22" spans="1:12" ht="12.75" customHeight="1" x14ac:dyDescent="0.25">
      <c r="A22" s="15" t="s">
        <v>633</v>
      </c>
      <c r="B22" s="324"/>
      <c r="C22" s="18"/>
      <c r="D22" s="18"/>
      <c r="E22" s="18"/>
      <c r="F22" s="113"/>
      <c r="G22" s="18"/>
      <c r="H22" s="142"/>
      <c r="I22" s="18"/>
      <c r="J22" s="18"/>
    </row>
    <row r="23" spans="1:12" ht="12.75" customHeight="1" x14ac:dyDescent="0.25">
      <c r="A23" s="353" t="s">
        <v>320</v>
      </c>
      <c r="B23" s="6">
        <f>SUM(B8,B14,B20)</f>
        <v>83834.306071125611</v>
      </c>
      <c r="D23" s="488">
        <f>'Table 3.30-UAA MP Cost'!D32</f>
        <v>2.4078971781597152</v>
      </c>
      <c r="E23" s="12" t="s">
        <v>586</v>
      </c>
      <c r="F23" s="113">
        <f>B23*D23</f>
        <v>201864.38902164123</v>
      </c>
      <c r="G23" s="18"/>
      <c r="H23" s="358">
        <f>B23/$B$29</f>
        <v>1</v>
      </c>
      <c r="J23" s="22">
        <f>D23*H23</f>
        <v>2.4078971781597152</v>
      </c>
    </row>
    <row r="24" spans="1:12" x14ac:dyDescent="0.25">
      <c r="A24" s="353" t="s">
        <v>99</v>
      </c>
      <c r="B24" s="6">
        <f>'Table 3.35-PD Vols'!D14</f>
        <v>7993.3977164875796</v>
      </c>
      <c r="C24" s="12" t="s">
        <v>582</v>
      </c>
      <c r="D24" s="83">
        <f>'Table 3.32-Accounting Post Due'!I13</f>
        <v>2.8560679544268806</v>
      </c>
      <c r="E24" s="12" t="s">
        <v>587</v>
      </c>
      <c r="F24" s="113">
        <f>B24*D24</f>
        <v>22829.68706504918</v>
      </c>
      <c r="G24" s="18"/>
      <c r="H24" s="358">
        <f>B24/$B$29</f>
        <v>9.5347574174538111E-2</v>
      </c>
      <c r="J24" s="22">
        <f>D24*H24</f>
        <v>0.27231915113223831</v>
      </c>
    </row>
    <row r="25" spans="1:12" x14ac:dyDescent="0.25">
      <c r="A25" s="353" t="s">
        <v>100</v>
      </c>
      <c r="B25" s="6">
        <f>'Table 3.35-PD Vols'!D15</f>
        <v>5521.2422865854032</v>
      </c>
      <c r="C25" s="12" t="s">
        <v>582</v>
      </c>
      <c r="D25" s="83">
        <f>'Table 3.33-Delivery Post Due'!I20</f>
        <v>0.86611479302919459</v>
      </c>
      <c r="E25" s="12" t="s">
        <v>590</v>
      </c>
      <c r="F25" s="113">
        <f>B25*D25</f>
        <v>4782.0296203099533</v>
      </c>
      <c r="G25" s="18"/>
      <c r="H25" s="358">
        <f>B25/$B$29</f>
        <v>6.585898476813469E-2</v>
      </c>
      <c r="J25" s="22">
        <f>D25*H25</f>
        <v>5.7041440961565854E-2</v>
      </c>
    </row>
    <row r="26" spans="1:12" x14ac:dyDescent="0.25">
      <c r="A26" s="497" t="s">
        <v>210</v>
      </c>
      <c r="B26" s="6">
        <f>'Table 3.35-PD Vols'!D16</f>
        <v>1145.0128030265978</v>
      </c>
      <c r="C26" s="12" t="s">
        <v>582</v>
      </c>
      <c r="D26" s="83">
        <f>'Table 3.34-Window Post Due'!I13</f>
        <v>0.45498126298827479</v>
      </c>
      <c r="E26" s="12" t="s">
        <v>591</v>
      </c>
      <c r="F26" s="113">
        <f>B26*D26</f>
        <v>520.95937125878618</v>
      </c>
      <c r="G26" s="18"/>
      <c r="H26" s="358">
        <f>B26/$B$29</f>
        <v>1.3658045932355674E-2</v>
      </c>
      <c r="J26" s="22">
        <f>D26*H26</f>
        <v>6.2141549882550537E-3</v>
      </c>
    </row>
    <row r="27" spans="1:12" x14ac:dyDescent="0.25">
      <c r="A27" s="100" t="s">
        <v>102</v>
      </c>
      <c r="B27" s="324">
        <f>B23</f>
        <v>83834.306071125611</v>
      </c>
      <c r="C27" s="18"/>
      <c r="D27" s="83">
        <f>F27/B27</f>
        <v>2.7434719252417743</v>
      </c>
      <c r="E27" s="18"/>
      <c r="F27" s="175">
        <f>SUM(F23:F26)</f>
        <v>229997.06507825915</v>
      </c>
      <c r="G27" s="18"/>
      <c r="H27" s="142"/>
      <c r="I27" s="18"/>
      <c r="J27" s="552">
        <f>SUM(J23:J26)</f>
        <v>2.7434719252417743</v>
      </c>
    </row>
    <row r="28" spans="1:12" ht="5.0999999999999996" customHeight="1" x14ac:dyDescent="0.25">
      <c r="A28" s="91"/>
      <c r="B28" s="324"/>
      <c r="C28" s="18"/>
      <c r="D28" s="83"/>
      <c r="E28" s="18"/>
      <c r="F28" s="175"/>
      <c r="G28" s="18"/>
      <c r="H28" s="142"/>
      <c r="I28" s="18"/>
      <c r="J28" s="18"/>
    </row>
    <row r="29" spans="1:12" x14ac:dyDescent="0.25">
      <c r="A29" s="91" t="s">
        <v>494</v>
      </c>
      <c r="B29" s="393">
        <f>SUM(B8,B14,B20)</f>
        <v>83834.306071125611</v>
      </c>
      <c r="C29" s="18"/>
      <c r="D29" s="488"/>
      <c r="E29" s="18"/>
      <c r="F29" s="510">
        <f>SUM(F8,F14,F20,F27)</f>
        <v>266754.38306652755</v>
      </c>
      <c r="G29" s="18"/>
      <c r="H29" s="142"/>
      <c r="I29" s="18"/>
      <c r="J29" s="413">
        <f>SUM(J8,J14,J20,J27)</f>
        <v>3.1819239111994468</v>
      </c>
    </row>
    <row r="30" spans="1:12" hidden="1" x14ac:dyDescent="0.25">
      <c r="A30" s="91"/>
      <c r="B30" s="324"/>
      <c r="C30" s="18"/>
      <c r="D30" s="83"/>
      <c r="E30" s="18"/>
      <c r="F30" s="175"/>
      <c r="G30" s="18"/>
      <c r="H30" s="142"/>
      <c r="I30" s="18"/>
      <c r="J30" s="18"/>
    </row>
    <row r="31" spans="1:12" hidden="1" x14ac:dyDescent="0.25">
      <c r="A31" s="5"/>
      <c r="B31" s="240"/>
      <c r="F31" s="359"/>
      <c r="H31" s="6"/>
      <c r="J31" s="6"/>
    </row>
    <row r="32" spans="1:12" hidden="1" x14ac:dyDescent="0.25">
      <c r="A32" s="23" t="s">
        <v>191</v>
      </c>
      <c r="B32" s="240"/>
      <c r="D32" s="500"/>
      <c r="G32" s="482" t="s">
        <v>311</v>
      </c>
      <c r="H32" s="6">
        <f>SUM('Table 3.15-Route UAA NoPARS'!J99:J100,'Table 3.15-Route UAA NoPARS'!J107)</f>
        <v>8115.6669839904635</v>
      </c>
      <c r="J32" s="6">
        <f>SUM(F5,F11,F17)</f>
        <v>8115.6669839904625</v>
      </c>
      <c r="K32" s="143">
        <f t="shared" ref="K32:K37" si="0">H32-J32</f>
        <v>0</v>
      </c>
    </row>
    <row r="33" spans="1:11" hidden="1" x14ac:dyDescent="0.25">
      <c r="A33" s="5"/>
      <c r="B33" s="240"/>
      <c r="G33" s="46" t="s">
        <v>312</v>
      </c>
      <c r="H33" s="6">
        <f>SUM('Table 3.18-Nixie UAA'!I16:I16,'Table 3.18-Nixie UAA'!I19,'Table 3.18-Nixie UAA'!I25:I25,'Table 3.18-Nixie UAA'!I28)+SUM('Table 3.31-Rating Post Due'!H13,'Table 3.31-Rating Post Due'!H25)</f>
        <v>19047.136947099189</v>
      </c>
      <c r="J33" s="6">
        <f>SUM(F6:F7,F18)</f>
        <v>19047.136947099189</v>
      </c>
      <c r="K33" s="143">
        <f t="shared" si="0"/>
        <v>0</v>
      </c>
    </row>
    <row r="34" spans="1:11" hidden="1" x14ac:dyDescent="0.25">
      <c r="A34" s="5"/>
      <c r="B34" s="240"/>
      <c r="G34" s="46" t="s">
        <v>313</v>
      </c>
      <c r="H34" s="6">
        <f>SUM('Table 3.20-CFS Non-CIOSS'!H14,'Table 3.20-CFS Non-CIOSS'!H50,'Table 3.20-CFS Non-CIOSS'!H61,'Table 3.20-CFS Non-CIOSS'!H71)</f>
        <v>9594.5140571787451</v>
      </c>
      <c r="J34" s="6">
        <f>SUM(F12:F13,F19)</f>
        <v>9594.5140571787451</v>
      </c>
      <c r="K34" s="143">
        <f t="shared" si="0"/>
        <v>0</v>
      </c>
    </row>
    <row r="35" spans="1:11" hidden="1" x14ac:dyDescent="0.25">
      <c r="A35" s="5"/>
      <c r="B35" s="240"/>
      <c r="G35" s="67" t="s">
        <v>518</v>
      </c>
      <c r="H35" s="32">
        <f>'Table 3.30-UAA MP Cost'!F32</f>
        <v>201864.3890216412</v>
      </c>
      <c r="J35" s="6">
        <f>F23</f>
        <v>201864.38902164123</v>
      </c>
      <c r="K35" s="143">
        <f t="shared" si="0"/>
        <v>0</v>
      </c>
    </row>
    <row r="36" spans="1:11" hidden="1" x14ac:dyDescent="0.25">
      <c r="A36" s="5"/>
      <c r="B36" s="240"/>
      <c r="G36" s="67" t="s">
        <v>315</v>
      </c>
      <c r="H36" s="32">
        <f>SUM(F24:F26)</f>
        <v>28132.676056617918</v>
      </c>
      <c r="I36" s="27"/>
      <c r="J36" s="32">
        <f>SUM(F24:F26)</f>
        <v>28132.676056617918</v>
      </c>
      <c r="K36" s="143">
        <f t="shared" si="0"/>
        <v>0</v>
      </c>
    </row>
    <row r="37" spans="1:11" hidden="1" x14ac:dyDescent="0.25">
      <c r="A37" s="5"/>
      <c r="B37" s="240"/>
      <c r="G37" s="46" t="s">
        <v>314</v>
      </c>
      <c r="H37" s="6">
        <f>SUM(H32:H36)</f>
        <v>266754.38306652749</v>
      </c>
      <c r="J37" s="6">
        <f>SUM(J32:J36)</f>
        <v>266754.38306652755</v>
      </c>
      <c r="K37" s="143">
        <f t="shared" si="0"/>
        <v>0</v>
      </c>
    </row>
    <row r="38" spans="1:11" x14ac:dyDescent="0.25">
      <c r="A38" s="283"/>
      <c r="B38" s="283"/>
      <c r="C38" s="283"/>
      <c r="D38" s="283"/>
      <c r="E38" s="283"/>
      <c r="F38" s="283"/>
      <c r="H38" s="240"/>
    </row>
    <row r="39" spans="1:11" x14ac:dyDescent="0.25">
      <c r="A39" s="284" t="s">
        <v>235</v>
      </c>
    </row>
    <row r="40" spans="1:11" x14ac:dyDescent="0.25">
      <c r="A40" s="241" t="s">
        <v>634</v>
      </c>
      <c r="D40" s="12"/>
      <c r="E40" s="241" t="s">
        <v>639</v>
      </c>
    </row>
    <row r="41" spans="1:11" x14ac:dyDescent="0.25">
      <c r="A41" s="241" t="s">
        <v>635</v>
      </c>
      <c r="D41" s="12"/>
      <c r="E41" s="241" t="s">
        <v>602</v>
      </c>
    </row>
    <row r="42" spans="1:11" x14ac:dyDescent="0.25">
      <c r="A42" s="241" t="s">
        <v>35</v>
      </c>
      <c r="D42" s="12"/>
      <c r="E42" s="241" t="s">
        <v>686</v>
      </c>
    </row>
    <row r="43" spans="1:11" x14ac:dyDescent="0.25">
      <c r="A43" s="241" t="s">
        <v>636</v>
      </c>
      <c r="E43" s="241" t="s">
        <v>687</v>
      </c>
    </row>
    <row r="44" spans="1:11" x14ac:dyDescent="0.25">
      <c r="A44" s="241" t="s">
        <v>637</v>
      </c>
      <c r="E44" s="241" t="s">
        <v>688</v>
      </c>
    </row>
    <row r="45" spans="1:11" x14ac:dyDescent="0.25">
      <c r="A45" s="241" t="s">
        <v>45</v>
      </c>
      <c r="E45" s="241" t="s">
        <v>689</v>
      </c>
    </row>
    <row r="46" spans="1:11" x14ac:dyDescent="0.25">
      <c r="A46" s="241" t="s">
        <v>696</v>
      </c>
    </row>
  </sheetData>
  <phoneticPr fontId="5"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K30"/>
  <sheetViews>
    <sheetView zoomScale="70" workbookViewId="0"/>
  </sheetViews>
  <sheetFormatPr defaultRowHeight="13.2" x14ac:dyDescent="0.25"/>
  <cols>
    <col min="1" max="1" width="50" customWidth="1"/>
    <col min="2" max="2" width="11.6640625" customWidth="1"/>
    <col min="3" max="3" width="3.44140625" customWidth="1"/>
    <col min="4" max="4" width="11.6640625" customWidth="1"/>
    <col min="5" max="5" width="3.44140625" customWidth="1"/>
    <col min="6" max="6" width="11.6640625" customWidth="1"/>
    <col min="7" max="7" width="3.44140625" customWidth="1"/>
    <col min="8" max="8" width="11.6640625" customWidth="1"/>
    <col min="9" max="9" width="3.44140625" customWidth="1"/>
    <col min="10" max="10" width="11.6640625" customWidth="1"/>
  </cols>
  <sheetData>
    <row r="1" spans="1:11" s="13" customFormat="1" ht="15.6" x14ac:dyDescent="0.3">
      <c r="A1" s="157" t="s">
        <v>551</v>
      </c>
      <c r="B1" s="19"/>
      <c r="C1" s="19"/>
      <c r="D1" s="19"/>
      <c r="E1" s="19"/>
      <c r="F1" s="19"/>
      <c r="G1" s="19"/>
      <c r="H1" s="19"/>
      <c r="I1" s="19"/>
      <c r="J1" s="19"/>
    </row>
    <row r="2" spans="1:11" s="13" customFormat="1" ht="15.6" x14ac:dyDescent="0.3">
      <c r="A2" s="158" t="s">
        <v>787</v>
      </c>
      <c r="B2" s="19"/>
      <c r="C2" s="19"/>
      <c r="D2" s="19"/>
      <c r="E2" s="19"/>
      <c r="F2" s="19"/>
      <c r="G2" s="19"/>
      <c r="H2" s="19"/>
      <c r="I2" s="19"/>
      <c r="J2" s="19"/>
    </row>
    <row r="3" spans="1:11" ht="26.4" x14ac:dyDescent="0.25">
      <c r="B3" s="168" t="s">
        <v>109</v>
      </c>
      <c r="C3" s="168"/>
      <c r="D3" s="169" t="s">
        <v>104</v>
      </c>
      <c r="E3" s="169"/>
      <c r="F3" s="168" t="s">
        <v>110</v>
      </c>
      <c r="G3" s="168"/>
      <c r="H3" s="170" t="s">
        <v>97</v>
      </c>
      <c r="I3" s="170"/>
      <c r="J3" s="171" t="s">
        <v>105</v>
      </c>
    </row>
    <row r="4" spans="1:11" x14ac:dyDescent="0.25">
      <c r="A4" s="333"/>
      <c r="B4" s="27"/>
      <c r="C4" s="27"/>
      <c r="D4" s="27"/>
      <c r="E4" s="151"/>
      <c r="F4" s="485"/>
      <c r="G4" s="151"/>
      <c r="H4" s="486"/>
      <c r="I4" s="151"/>
      <c r="J4" s="151"/>
      <c r="K4" s="27"/>
    </row>
    <row r="5" spans="1:11" x14ac:dyDescent="0.25">
      <c r="A5" s="493" t="s">
        <v>574</v>
      </c>
      <c r="B5" s="484"/>
      <c r="C5" s="27"/>
      <c r="D5" s="27"/>
      <c r="E5" s="27"/>
      <c r="F5" s="27"/>
      <c r="G5" s="67"/>
      <c r="H5" s="32"/>
      <c r="I5" s="27"/>
      <c r="J5" s="32"/>
      <c r="K5" s="240"/>
    </row>
    <row r="6" spans="1:11" x14ac:dyDescent="0.25">
      <c r="A6" s="353" t="s">
        <v>491</v>
      </c>
      <c r="B6" s="492">
        <f>'Table 3.9-PARS Wst Summary'!B10</f>
        <v>744003.04968605714</v>
      </c>
      <c r="C6" s="27"/>
      <c r="D6" s="121">
        <f t="shared" ref="D6:D11" si="0">F6/B6</f>
        <v>0.11567260861984631</v>
      </c>
      <c r="E6" s="27"/>
      <c r="F6" s="175">
        <f>'Table 3.9-PARS Wst Summary'!F10</f>
        <v>86060.773578307359</v>
      </c>
      <c r="G6" s="27"/>
      <c r="H6" s="134">
        <f t="shared" ref="H6:H11" si="1">B6/$B$19</f>
        <v>0.21616744059969584</v>
      </c>
      <c r="I6" s="27"/>
      <c r="J6" s="121">
        <f>D6*H6</f>
        <v>2.5004651752842492E-2</v>
      </c>
      <c r="K6" s="27"/>
    </row>
    <row r="7" spans="1:11" x14ac:dyDescent="0.25">
      <c r="A7" s="353" t="s">
        <v>492</v>
      </c>
      <c r="B7" s="492">
        <f>'Table 3.9-PARS Wst Summary'!B18</f>
        <v>142518.74443179899</v>
      </c>
      <c r="C7" s="27"/>
      <c r="D7" s="121">
        <f t="shared" si="0"/>
        <v>9.6542458263346398E-2</v>
      </c>
      <c r="E7" s="27"/>
      <c r="F7" s="175">
        <f>'Table 3.9-PARS Wst Summary'!F18</f>
        <v>13759.109936051485</v>
      </c>
      <c r="G7" s="27"/>
      <c r="H7" s="134">
        <f t="shared" si="1"/>
        <v>4.1408314434065806E-2</v>
      </c>
      <c r="I7" s="27"/>
      <c r="J7" s="121">
        <f>D7*H7</f>
        <v>3.9976604680063222E-3</v>
      </c>
      <c r="K7" s="27"/>
    </row>
    <row r="8" spans="1:11" x14ac:dyDescent="0.25">
      <c r="A8" s="353" t="s">
        <v>493</v>
      </c>
      <c r="B8" s="492">
        <f>'Table 3.9-PARS Wst Summary'!B28</f>
        <v>9096.9411339446251</v>
      </c>
      <c r="D8" s="121">
        <f t="shared" si="0"/>
        <v>0.16015815105066319</v>
      </c>
      <c r="F8" s="175">
        <f>'Table 3.9-PARS Wst Summary'!F28</f>
        <v>1456.9492722292946</v>
      </c>
      <c r="H8" s="134">
        <f t="shared" si="1"/>
        <v>2.6430839000467559E-3</v>
      </c>
      <c r="J8" s="121">
        <f>D8*H8</f>
        <v>4.2331143050326433E-4</v>
      </c>
    </row>
    <row r="9" spans="1:11" x14ac:dyDescent="0.25">
      <c r="A9" s="353" t="s">
        <v>501</v>
      </c>
      <c r="B9" s="492">
        <f>'Table 3.9-PARS Wst Summary'!B36</f>
        <v>20609.732538860237</v>
      </c>
      <c r="D9" s="121">
        <f t="shared" si="0"/>
        <v>8.957111168691026E-2</v>
      </c>
      <c r="F9" s="175">
        <f>'Table 3.9-PARS Wst Summary'!F36</f>
        <v>1846.0366550755989</v>
      </c>
      <c r="H9" s="134">
        <f t="shared" si="1"/>
        <v>5.9880845061718565E-3</v>
      </c>
      <c r="J9" s="121">
        <f>D9*H9</f>
        <v>5.363593860929762E-4</v>
      </c>
    </row>
    <row r="10" spans="1:11" x14ac:dyDescent="0.25">
      <c r="A10" s="353" t="s">
        <v>500</v>
      </c>
      <c r="B10" s="6">
        <f>'Table 3.9-PARS Wst Summary'!B46</f>
        <v>270222.86720933911</v>
      </c>
      <c r="D10" s="121">
        <f t="shared" si="0"/>
        <v>0.13733727531853557</v>
      </c>
      <c r="F10" s="175">
        <f>'Table 3.9-PARS Wst Summary'!F46</f>
        <v>37111.672311293085</v>
      </c>
      <c r="H10" s="134">
        <f t="shared" si="1"/>
        <v>7.8512293223532731E-2</v>
      </c>
      <c r="J10" s="121">
        <f>D10*H10</f>
        <v>1.078266443032991E-2</v>
      </c>
    </row>
    <row r="11" spans="1:11" x14ac:dyDescent="0.25">
      <c r="A11" s="353" t="s">
        <v>102</v>
      </c>
      <c r="B11" s="6">
        <f>SUM(B6:B10)</f>
        <v>1186451.3350000002</v>
      </c>
      <c r="D11" s="121">
        <f t="shared" si="0"/>
        <v>0.11819662350749244</v>
      </c>
      <c r="F11" s="175">
        <f>SUM(F6:F10)</f>
        <v>140234.54175295681</v>
      </c>
      <c r="H11" s="134">
        <f t="shared" si="1"/>
        <v>0.34471921666351302</v>
      </c>
      <c r="J11" s="121">
        <f>SUM(J6:J10)</f>
        <v>4.0744647467774966E-2</v>
      </c>
    </row>
    <row r="12" spans="1:11" x14ac:dyDescent="0.25">
      <c r="A12" s="241"/>
      <c r="D12" s="12"/>
      <c r="F12" s="175"/>
      <c r="H12" s="358"/>
    </row>
    <row r="13" spans="1:11" x14ac:dyDescent="0.25">
      <c r="A13" s="333" t="s">
        <v>479</v>
      </c>
      <c r="D13" s="12"/>
      <c r="F13" s="175"/>
      <c r="H13" s="358"/>
    </row>
    <row r="14" spans="1:11" x14ac:dyDescent="0.25">
      <c r="A14" s="353" t="s">
        <v>496</v>
      </c>
      <c r="B14" s="6">
        <f>'Table 3.10-NonPARS Wst Summary'!B7</f>
        <v>2175721.5538441222</v>
      </c>
      <c r="D14" s="121">
        <f>F14/B14</f>
        <v>5.1198344870315195E-2</v>
      </c>
      <c r="F14" s="175">
        <f>'Table 3.10-NonPARS Wst Summary'!F7</f>
        <v>111393.34245548942</v>
      </c>
      <c r="H14" s="134">
        <f>B14/$B$19</f>
        <v>0.63214816115409156</v>
      </c>
      <c r="J14" s="121">
        <f>D14*H14</f>
        <v>3.2364939563902767E-2</v>
      </c>
    </row>
    <row r="15" spans="1:11" x14ac:dyDescent="0.25">
      <c r="A15" s="353" t="s">
        <v>497</v>
      </c>
      <c r="B15" s="6">
        <f>'Table 3.10-NonPARS Wst Summary'!B12</f>
        <v>45698.059247861893</v>
      </c>
      <c r="D15" s="121">
        <f>F15/B15</f>
        <v>0.37030218784314406</v>
      </c>
      <c r="F15" s="175">
        <f>'Table 3.10-NonPARS Wst Summary'!F12</f>
        <v>16922.091319668882</v>
      </c>
      <c r="H15" s="134">
        <f>B15/$B$19</f>
        <v>1.327740862373066E-2</v>
      </c>
      <c r="J15" s="121">
        <f>D15*H15</f>
        <v>4.9166534622548915E-3</v>
      </c>
    </row>
    <row r="16" spans="1:11" x14ac:dyDescent="0.25">
      <c r="A16" s="353" t="s">
        <v>498</v>
      </c>
      <c r="B16" s="6">
        <f>'Table 3.10-NonPARS Wst Summary'!B18</f>
        <v>33919.580685290159</v>
      </c>
      <c r="D16" s="121">
        <f>F16/B16</f>
        <v>0.1554006659032654</v>
      </c>
      <c r="F16" s="175">
        <f>'Table 3.10-NonPARS Wst Summary'!F18</f>
        <v>5271.1254256536304</v>
      </c>
      <c r="H16" s="134">
        <f>B16/$B$19</f>
        <v>9.8552135586648798E-3</v>
      </c>
      <c r="J16" s="121">
        <f>D16*H16</f>
        <v>1.5315067496354123E-3</v>
      </c>
    </row>
    <row r="17" spans="1:11" x14ac:dyDescent="0.25">
      <c r="A17" s="353" t="s">
        <v>102</v>
      </c>
      <c r="B17" s="6">
        <f>SUM(B14:B16)</f>
        <v>2255339.1937772743</v>
      </c>
      <c r="D17" s="121">
        <f>F17/B17</f>
        <v>5.9231249813505547E-2</v>
      </c>
      <c r="F17" s="175">
        <f>SUM(F14:F16)</f>
        <v>133586.55920081193</v>
      </c>
      <c r="H17" s="134">
        <f>B17/$B$19</f>
        <v>0.65528078333648709</v>
      </c>
      <c r="J17" s="121">
        <f>SUM(J14:J16)</f>
        <v>3.8813099775793072E-2</v>
      </c>
    </row>
    <row r="18" spans="1:11" x14ac:dyDescent="0.25">
      <c r="F18" s="175"/>
    </row>
    <row r="19" spans="1:11" x14ac:dyDescent="0.25">
      <c r="A19" s="480" t="s">
        <v>269</v>
      </c>
      <c r="B19" s="356">
        <f>SUM(B11,B17)</f>
        <v>3441790.5287772743</v>
      </c>
      <c r="C19" s="16"/>
      <c r="D19" s="16"/>
      <c r="E19" s="16"/>
      <c r="F19" s="510">
        <f>SUM(F11,F17)</f>
        <v>273821.10095376871</v>
      </c>
      <c r="G19" s="16"/>
      <c r="H19" s="509"/>
      <c r="I19" s="16"/>
      <c r="J19" s="354">
        <f>SUM(J11,J17)</f>
        <v>7.9557747243568039E-2</v>
      </c>
    </row>
    <row r="21" spans="1:11" hidden="1" x14ac:dyDescent="0.25">
      <c r="A21" s="14" t="s">
        <v>191</v>
      </c>
      <c r="B21" s="143">
        <v>0</v>
      </c>
      <c r="G21" s="482" t="s">
        <v>311</v>
      </c>
      <c r="H21" s="6">
        <f>SUM('Table 3.14-Route UAA'!J101,'Table 3.14-Route UAA'!J108,'Table 3.14-Route UAA'!J111)</f>
        <v>98342.092477272236</v>
      </c>
      <c r="J21" s="6">
        <f>'Table 3.9-PARS Wst Summary'!J50+'Table 3.10-NonPARS Wst Summary'!J22</f>
        <v>98342.092477272221</v>
      </c>
      <c r="K21" s="143">
        <f t="shared" ref="K21:K26" si="2">H21-J21</f>
        <v>0</v>
      </c>
    </row>
    <row r="22" spans="1:11" hidden="1" x14ac:dyDescent="0.25">
      <c r="B22" s="143">
        <v>0</v>
      </c>
      <c r="G22" s="46" t="s">
        <v>312</v>
      </c>
      <c r="H22" s="6">
        <f>SUM('Table 3.18-Nixie UAA'!I8,'Table 3.18-Nixie UAA'!I11,'Table 3.18-Nixie UAA'!I20,'Table 3.18-Nixie UAA'!I29,'Table 3.18-Nixie UAA'!I35,'Table 3.18-Nixie UAA'!I37)</f>
        <v>44220.707060306951</v>
      </c>
      <c r="J22" s="6">
        <f>'Table 3.9-PARS Wst Summary'!J51+'Table 3.10-NonPARS Wst Summary'!J23</f>
        <v>44220.707060306951</v>
      </c>
      <c r="K22" s="143">
        <f t="shared" si="2"/>
        <v>0</v>
      </c>
    </row>
    <row r="23" spans="1:11" hidden="1" x14ac:dyDescent="0.25">
      <c r="B23" s="143">
        <v>0</v>
      </c>
      <c r="G23" s="46" t="s">
        <v>313</v>
      </c>
      <c r="H23" s="6">
        <f>SUM('Table 3.20-CFS Non-CIOSS'!H19,'Table 3.20-CFS Non-CIOSS'!H76,'Table 3.21-CFS CIOSS Rejs'!H19,'Table 3.21-CFS CIOSS Rejs'!H76)</f>
        <v>14205.014181310284</v>
      </c>
      <c r="J23" s="6">
        <f>'Table 3.9-PARS Wst Summary'!J52+'Table 3.10-NonPARS Wst Summary'!J24</f>
        <v>14205.014181310284</v>
      </c>
      <c r="K23" s="143">
        <f t="shared" si="2"/>
        <v>0</v>
      </c>
    </row>
    <row r="24" spans="1:11" hidden="1" x14ac:dyDescent="0.25">
      <c r="B24" s="240"/>
      <c r="G24" s="483" t="s">
        <v>502</v>
      </c>
      <c r="H24" s="6">
        <f>SUM('Table 3.23-CIOSS Summary'!I6,'Table 3.23-CIOSS Summary'!I10,'Table 3.23-CIOSS Summary'!I13)</f>
        <v>64909.489663150336</v>
      </c>
      <c r="J24" s="6">
        <f>'Table 3.9-PARS Wst Summary'!J53</f>
        <v>64909.489663150329</v>
      </c>
      <c r="K24" s="143">
        <f t="shared" si="2"/>
        <v>0</v>
      </c>
    </row>
    <row r="25" spans="1:11" hidden="1" x14ac:dyDescent="0.25">
      <c r="B25" s="240"/>
      <c r="G25" s="483" t="s">
        <v>503</v>
      </c>
      <c r="H25" s="6">
        <f>SUM('Table 3.25-REC Summary'!K6,'Table 3.25-REC Summary'!K10,'Table 3.25-REC Summary'!K13)</f>
        <v>52143.797571728974</v>
      </c>
      <c r="J25" s="6">
        <f>'Table 3.9-PARS Wst Summary'!J54</f>
        <v>52143.797571728966</v>
      </c>
      <c r="K25" s="143">
        <f t="shared" si="2"/>
        <v>0</v>
      </c>
    </row>
    <row r="26" spans="1:11" hidden="1" x14ac:dyDescent="0.25">
      <c r="B26" s="240"/>
      <c r="G26" s="46" t="s">
        <v>314</v>
      </c>
      <c r="H26" s="6">
        <f>SUM(H21:H25)</f>
        <v>273821.10095376876</v>
      </c>
      <c r="J26" s="6">
        <f>SUM(J21:J25)</f>
        <v>273821.10095376876</v>
      </c>
      <c r="K26" s="143">
        <f t="shared" si="2"/>
        <v>0</v>
      </c>
    </row>
    <row r="27" spans="1:11" x14ac:dyDescent="0.25">
      <c r="A27" s="283"/>
      <c r="B27" s="283"/>
      <c r="C27" s="283"/>
      <c r="D27" s="283"/>
      <c r="E27" s="283"/>
      <c r="F27" s="283"/>
    </row>
    <row r="28" spans="1:11" x14ac:dyDescent="0.25">
      <c r="A28" s="284" t="s">
        <v>235</v>
      </c>
    </row>
    <row r="29" spans="1:11" x14ac:dyDescent="0.25">
      <c r="A29" s="241" t="s">
        <v>640</v>
      </c>
      <c r="D29" s="12"/>
    </row>
    <row r="30" spans="1:11" x14ac:dyDescent="0.25">
      <c r="A30" s="241" t="s">
        <v>641</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23</vt:i4>
      </vt:variant>
    </vt:vector>
  </HeadingPairs>
  <TitlesOfParts>
    <vt:vector size="69" baseType="lpstr">
      <vt:lpstr>Cover</vt:lpstr>
      <vt:lpstr>Table 3.1-UAA Summary</vt:lpstr>
      <vt:lpstr>Table 3.2-Total Fwd Summary</vt:lpstr>
      <vt:lpstr>Table 3.3-PARS Fwd Summary</vt:lpstr>
      <vt:lpstr>Table 3.4-NonPARS Fwd Summary</vt:lpstr>
      <vt:lpstr>Table 3.5-Total RTS Summary</vt:lpstr>
      <vt:lpstr>Table 3.6-PARS RTS Summary</vt:lpstr>
      <vt:lpstr>Table 3.7-NonPARS RTS Summary</vt:lpstr>
      <vt:lpstr>Table 3.8-Total Wst Summary</vt:lpstr>
      <vt:lpstr>Table 3.9-PARS Wst Summary</vt:lpstr>
      <vt:lpstr>Table 3.10-NonPARS Wst Summary</vt:lpstr>
      <vt:lpstr>Table 3.11-Form3547 Costs</vt:lpstr>
      <vt:lpstr>Table 3.12-Form3579 Costs</vt:lpstr>
      <vt:lpstr>Table 3.13-COA Costs</vt:lpstr>
      <vt:lpstr>Table 3.14-Route UAA</vt:lpstr>
      <vt:lpstr>Table 3.15-Route UAA NoPARS</vt:lpstr>
      <vt:lpstr>Table 3.16-Route UAA PARS</vt:lpstr>
      <vt:lpstr>Table 3.17-No Record Mail</vt:lpstr>
      <vt:lpstr>Table 3.18-Nixie UAA</vt:lpstr>
      <vt:lpstr>Table 3.19-CFS UAA</vt:lpstr>
      <vt:lpstr>Table 3.20-CFS Non-CIOSS</vt:lpstr>
      <vt:lpstr>Table 3.21-CFS CIOSS Rejs</vt:lpstr>
      <vt:lpstr>Table 3.22-CFS Key Rates</vt:lpstr>
      <vt:lpstr>Table 3.23-CIOSS Summary</vt:lpstr>
      <vt:lpstr>Table 3.24-CIOSS Detail</vt:lpstr>
      <vt:lpstr>Table 3.25-REC Summary</vt:lpstr>
      <vt:lpstr>Table 3.26-REC Detail NonACS</vt:lpstr>
      <vt:lpstr>Table 3.27-REC Detail ACS</vt:lpstr>
      <vt:lpstr>Table 3.28-REC Volume</vt:lpstr>
      <vt:lpstr>Table 3.29-UAA MP Units</vt:lpstr>
      <vt:lpstr>Table 3.30-UAA MP Cost</vt:lpstr>
      <vt:lpstr>Table 3.31-Rating Post Due</vt:lpstr>
      <vt:lpstr>Table 3.32-Accounting Post Due</vt:lpstr>
      <vt:lpstr>Table 3.33-Delivery Post Due</vt:lpstr>
      <vt:lpstr>Table 3.34-Window Post Due</vt:lpstr>
      <vt:lpstr>Table 3.35-PD Vols</vt:lpstr>
      <vt:lpstr>Table 3.36-Process Form 3546</vt:lpstr>
      <vt:lpstr>Table 3.37-Notice Inputs</vt:lpstr>
      <vt:lpstr>Table 3.38-Form 3547 Dist</vt:lpstr>
      <vt:lpstr>Table 3.39-Form 3579 Dist</vt:lpstr>
      <vt:lpstr>Table 3.40-Form Processing</vt:lpstr>
      <vt:lpstr>Table 3.41-Man Notice</vt:lpstr>
      <vt:lpstr>Table 3.42-Vol Flows</vt:lpstr>
      <vt:lpstr>Table 3.43-Elec Notice</vt:lpstr>
      <vt:lpstr>Table 3.44-One Code ACS</vt:lpstr>
      <vt:lpstr>checksum</vt:lpstr>
      <vt:lpstr>'Table 3.11-Form3547 Costs'!Print_Area</vt:lpstr>
      <vt:lpstr>'Table 3.13-COA Costs'!Print_Area</vt:lpstr>
      <vt:lpstr>'Table 3.14-Route UAA'!Print_Area</vt:lpstr>
      <vt:lpstr>'Table 3.15-Route UAA NoPARS'!Print_Area</vt:lpstr>
      <vt:lpstr>'Table 3.16-Route UAA PARS'!Print_Area</vt:lpstr>
      <vt:lpstr>'Table 3.17-No Record Mail'!Print_Area</vt:lpstr>
      <vt:lpstr>'Table 3.18-Nixie UAA'!Print_Area</vt:lpstr>
      <vt:lpstr>'Table 3.19-CFS UAA'!Print_Area</vt:lpstr>
      <vt:lpstr>'Table 3.1-UAA Summary'!Print_Area</vt:lpstr>
      <vt:lpstr>'Table 3.21-CFS CIOSS Rejs'!Print_Area</vt:lpstr>
      <vt:lpstr>'Table 3.22-CFS Key Rates'!Print_Area</vt:lpstr>
      <vt:lpstr>'Table 3.26-REC Detail NonACS'!Print_Area</vt:lpstr>
      <vt:lpstr>'Table 3.27-REC Detail ACS'!Print_Area</vt:lpstr>
      <vt:lpstr>'Table 3.29-UAA MP Units'!Print_Area</vt:lpstr>
      <vt:lpstr>'Table 3.31-Rating Post Due'!Print_Area</vt:lpstr>
      <vt:lpstr>'Table 3.32-Accounting Post Due'!Print_Area</vt:lpstr>
      <vt:lpstr>'Table 3.33-Delivery Post Due'!Print_Area</vt:lpstr>
      <vt:lpstr>'Table 3.34-Window Post Due'!Print_Area</vt:lpstr>
      <vt:lpstr>'Table 3.36-Process Form 3546'!Print_Area</vt:lpstr>
      <vt:lpstr>'Table 3.40-Form Processing'!Print_Area</vt:lpstr>
      <vt:lpstr>'Table 3.41-Man Notice'!Print_Area</vt:lpstr>
      <vt:lpstr>'Table 3.43-Elec Notice'!Print_Area</vt:lpstr>
      <vt:lpstr>'Table 3.44-One Code ACS'!Print_Area</vt:lpstr>
    </vt:vector>
  </TitlesOfParts>
  <Company>Christensen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jdreaser</dc:creator>
  <cp:lastModifiedBy>Sam Cutting</cp:lastModifiedBy>
  <cp:lastPrinted>2006-04-11T13:06:23Z</cp:lastPrinted>
  <dcterms:created xsi:type="dcterms:W3CDTF">2004-11-02T16:13:05Z</dcterms:created>
  <dcterms:modified xsi:type="dcterms:W3CDTF">2022-12-15T18:48:28Z</dcterms:modified>
</cp:coreProperties>
</file>