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FILES\Post\UAA\Update\ACR21\PARS21\Tables\"/>
    </mc:Choice>
  </mc:AlternateContent>
  <xr:revisionPtr revIDLastSave="0" documentId="8_{F1E30F03-5548-49F1-947C-60F2A1A8E182}" xr6:coauthVersionLast="46" xr6:coauthVersionMax="46" xr10:uidLastSave="{00000000-0000-0000-0000-000000000000}"/>
  <bookViews>
    <workbookView xWindow="-90" yWindow="-90" windowWidth="19380" windowHeight="10380" tabRatio="744" firstSheet="41" activeTab="45" xr2:uid="{00000000-000D-0000-FFFF-FFFF00000000}"/>
  </bookViews>
  <sheets>
    <sheet name="Cover" sheetId="40" r:id="rId1"/>
    <sheet name="Table 3.1-UAA Summary" sheetId="47" r:id="rId2"/>
    <sheet name="Table 3.2-Total Fwd Summary" sheetId="73" r:id="rId3"/>
    <sheet name="Table 3.3-PARS Fwd Summary" sheetId="71" r:id="rId4"/>
    <sheet name="Table 3.4-NonPARS Fwd Summary" sheetId="72" r:id="rId5"/>
    <sheet name="Table 3.5-Total RTS Summary" sheetId="70" r:id="rId6"/>
    <sheet name="Table 3.6-PARS RTS Summary" sheetId="67" r:id="rId7"/>
    <sheet name="Table 3.7-NonPARS RTS Summary" sheetId="69" r:id="rId8"/>
    <sheet name="Table 3.8-Total Wst Summary" sheetId="66" r:id="rId9"/>
    <sheet name="Table 3.9-PARS Wst Summary" sheetId="64" r:id="rId10"/>
    <sheet name="Table 3.10-NonPARS Wst Summary" sheetId="65" r:id="rId11"/>
    <sheet name="Table 3.11-Form3547 Costs" sheetId="78" r:id="rId12"/>
    <sheet name="Table 3.12-Form3579 Costs" sheetId="80" r:id="rId13"/>
    <sheet name="Table 3.13-COA Costs" sheetId="20" r:id="rId14"/>
    <sheet name="Table 3.14-Route UAA" sheetId="21" r:id="rId15"/>
    <sheet name="Table 3.15-Route UAA NoPARS" sheetId="63" r:id="rId16"/>
    <sheet name="Table 3.16-Route UAA PARS" sheetId="62" r:id="rId17"/>
    <sheet name="Table 3.17-No Record Mail" sheetId="37" r:id="rId18"/>
    <sheet name="Table 3.18-Nixie UAA" sheetId="22" r:id="rId19"/>
    <sheet name="Table 3.19-CFS UAA" sheetId="23" r:id="rId20"/>
    <sheet name="Table 3.20-CFS Non-CIOSS" sheetId="32" r:id="rId21"/>
    <sheet name="Table 3.21-CFS CIOSS Rejs" sheetId="54" r:id="rId22"/>
    <sheet name="Table 3.22-CFS Key Rates" sheetId="36" r:id="rId23"/>
    <sheet name="Table 3.23-CIOSS Summary" sheetId="49" r:id="rId24"/>
    <sheet name="Table 3.24-CIOSS Detail" sheetId="48" r:id="rId25"/>
    <sheet name="Table 3.25-REC Summary" sheetId="59" r:id="rId26"/>
    <sheet name="Table 3.26-REC Detail NonACS" sheetId="51" r:id="rId27"/>
    <sheet name="Table 3.27-REC Detail ACS" sheetId="75" r:id="rId28"/>
    <sheet name="Table 3.28-REC Volume" sheetId="50" r:id="rId29"/>
    <sheet name="Table 3.29-UAA MP Units" sheetId="30" r:id="rId30"/>
    <sheet name="Table 3.30-UAA MP Cost" sheetId="74" r:id="rId31"/>
    <sheet name="Table 3.31-Rating Post Due" sheetId="29" r:id="rId32"/>
    <sheet name="Table 3.32-Accounting Post Due" sheetId="26" r:id="rId33"/>
    <sheet name="Table 3.33-Delivery Post Due" sheetId="27" r:id="rId34"/>
    <sheet name="Table 3.34-Window Post Due" sheetId="28" r:id="rId35"/>
    <sheet name="Table 3.35-PD Vols" sheetId="68" r:id="rId36"/>
    <sheet name="Table 3.36-Process Form 3546" sheetId="33" r:id="rId37"/>
    <sheet name="Table 3.37-Notice Inputs" sheetId="77" r:id="rId38"/>
    <sheet name="Table 3.38-Form 3547 Dist" sheetId="76" r:id="rId39"/>
    <sheet name="Table 3.39-Form 3579 Dist" sheetId="55" r:id="rId40"/>
    <sheet name="Table 3.40-Form Processing" sheetId="25" r:id="rId41"/>
    <sheet name="Table 3.41-Man Notice" sheetId="81" r:id="rId42"/>
    <sheet name="Table 3.42-Vol Flows" sheetId="57" r:id="rId43"/>
    <sheet name="Table 3.43-Elec Notice" sheetId="82" r:id="rId44"/>
    <sheet name="Table 3.44-One Code ACS" sheetId="84" r:id="rId45"/>
    <sheet name="checksum" sheetId="42" r:id="rId46"/>
  </sheets>
  <definedNames>
    <definedName name="_xlnm.Print_Area" localSheetId="11">'Table 3.11-Form3547 Costs'!$A$1:$P$86</definedName>
    <definedName name="_xlnm.Print_Area" localSheetId="13">'Table 3.13-COA Costs'!$A$1:$N$88</definedName>
    <definedName name="_xlnm.Print_Area" localSheetId="14">'Table 3.14-Route UAA'!$A$1:$K$124</definedName>
    <definedName name="_xlnm.Print_Area" localSheetId="15">'Table 3.15-Route UAA NoPARS'!$A$1:$K$124</definedName>
    <definedName name="_xlnm.Print_Area" localSheetId="16">'Table 3.16-Route UAA PARS'!$A$1:$K$126</definedName>
    <definedName name="_xlnm.Print_Area" localSheetId="17">'Table 3.17-No Record Mail'!$A$1:$K$37</definedName>
    <definedName name="_xlnm.Print_Area" localSheetId="18">'Table 3.18-Nixie UAA'!$A$1:$J$52</definedName>
    <definedName name="_xlnm.Print_Area" localSheetId="19">'Table 3.19-CFS UAA'!$A$1:$K$117</definedName>
    <definedName name="_xlnm.Print_Area" localSheetId="1">'Table 3.1-UAA Summary'!$A$1:$N$85</definedName>
    <definedName name="_xlnm.Print_Area" localSheetId="21">'Table 3.21-CFS CIOSS Rejs'!$A$1:$I$118</definedName>
    <definedName name="_xlnm.Print_Area" localSheetId="22">'Table 3.22-CFS Key Rates'!$A$1:$K$32</definedName>
    <definedName name="_xlnm.Print_Area" localSheetId="26">'Table 3.26-REC Detail NonACS'!$A$1:$L$67</definedName>
    <definedName name="_xlnm.Print_Area" localSheetId="27">'Table 3.27-REC Detail ACS'!$A$1:$L$67</definedName>
    <definedName name="_xlnm.Print_Area" localSheetId="29">'Table 3.29-UAA MP Units'!$A$1:$G$33</definedName>
    <definedName name="_xlnm.Print_Area" localSheetId="31">'Table 3.31-Rating Post Due'!$A$1:$I$33</definedName>
    <definedName name="_xlnm.Print_Area" localSheetId="32">'Table 3.32-Accounting Post Due'!$A$1:$I$25</definedName>
    <definedName name="_xlnm.Print_Area" localSheetId="33">'Table 3.33-Delivery Post Due'!$A$1:$I$39</definedName>
    <definedName name="_xlnm.Print_Area" localSheetId="34">'Table 3.34-Window Post Due'!$A$1:$I$13</definedName>
    <definedName name="_xlnm.Print_Area" localSheetId="36">'Table 3.36-Process Form 3546'!$A$1:$J$24</definedName>
    <definedName name="_xlnm.Print_Area" localSheetId="40">'Table 3.40-Form Processing'!$A$1:$J$14</definedName>
    <definedName name="_xlnm.Print_Area" localSheetId="41">'Table 3.41-Man Notice'!$A$1:$F$44</definedName>
    <definedName name="_xlnm.Print_Area" localSheetId="43">'Table 3.43-Elec Notice'!$A$1:$R$45</definedName>
    <definedName name="_xlnm.Print_Area" localSheetId="44">'Table 3.44-One Code ACS'!$A$1:$R$45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20" l="1"/>
  <c r="N24" i="20"/>
  <c r="B19" i="36"/>
  <c r="B7" i="36"/>
  <c r="D30" i="74"/>
  <c r="D52" i="23"/>
  <c r="D56" i="23"/>
  <c r="B56" i="23"/>
  <c r="D39" i="23"/>
  <c r="B39" i="23"/>
  <c r="F8" i="84"/>
  <c r="L8" i="84"/>
  <c r="R8" i="84"/>
  <c r="B12" i="84"/>
  <c r="R12" i="84"/>
  <c r="R13" i="84"/>
  <c r="F20" i="84"/>
  <c r="L20" i="84"/>
  <c r="R20" i="84"/>
  <c r="B24" i="84"/>
  <c r="R24" i="84"/>
  <c r="R25" i="84"/>
  <c r="J73" i="47"/>
  <c r="F8" i="82"/>
  <c r="L8" i="82"/>
  <c r="R8" i="82"/>
  <c r="B12" i="82"/>
  <c r="R12" i="82"/>
  <c r="R13" i="82"/>
  <c r="F20" i="82"/>
  <c r="L20" i="82"/>
  <c r="R20" i="82"/>
  <c r="B24" i="82"/>
  <c r="R24" i="82"/>
  <c r="R25" i="82"/>
  <c r="B43" i="23"/>
  <c r="K102" i="23"/>
  <c r="M102" i="23" s="1"/>
  <c r="B52" i="23"/>
  <c r="H106" i="23"/>
  <c r="F103" i="32"/>
  <c r="F93" i="54"/>
  <c r="E45" i="75"/>
  <c r="C23" i="54"/>
  <c r="D43" i="23" s="1"/>
  <c r="F43" i="23" s="1"/>
  <c r="C28" i="54"/>
  <c r="C33" i="54"/>
  <c r="C90" i="54" s="1"/>
  <c r="F90" i="54" s="1"/>
  <c r="C93" i="54"/>
  <c r="C103" i="54"/>
  <c r="F103" i="54" s="1"/>
  <c r="C106" i="54"/>
  <c r="F106" i="54" s="1"/>
  <c r="C108" i="54"/>
  <c r="F108" i="54" s="1"/>
  <c r="K39" i="47"/>
  <c r="K40" i="47"/>
  <c r="C7" i="29"/>
  <c r="F52" i="23"/>
  <c r="F56" i="23"/>
  <c r="H54" i="54"/>
  <c r="I54" i="54" s="1"/>
  <c r="D7" i="54"/>
  <c r="D12" i="54"/>
  <c r="D17" i="54"/>
  <c r="D43" i="54"/>
  <c r="D48" i="54"/>
  <c r="D54" i="54"/>
  <c r="D59" i="54"/>
  <c r="D69" i="54"/>
  <c r="D74" i="54"/>
  <c r="D80" i="54"/>
  <c r="D85" i="54"/>
  <c r="B5" i="42"/>
  <c r="B6" i="42" s="1"/>
  <c r="B7" i="42" s="1"/>
  <c r="B8" i="42" s="1"/>
  <c r="B9" i="42" s="1"/>
  <c r="B10" i="42" s="1"/>
  <c r="B11" i="42" s="1"/>
  <c r="B12" i="42" s="1"/>
  <c r="B13" i="42" s="1"/>
  <c r="B14" i="42" s="1"/>
  <c r="B15" i="42" s="1"/>
  <c r="B16" i="42" s="1"/>
  <c r="B17" i="42" s="1"/>
  <c r="B18" i="42" s="1"/>
  <c r="B19" i="42" s="1"/>
  <c r="B20" i="42" s="1"/>
  <c r="B21" i="42" s="1"/>
  <c r="B22" i="42" s="1"/>
  <c r="B23" i="42" s="1"/>
  <c r="B24" i="42" s="1"/>
  <c r="B25" i="42" s="1"/>
  <c r="B26" i="42" s="1"/>
  <c r="B27" i="42" s="1"/>
  <c r="B28" i="42" s="1"/>
  <c r="B29" i="42" s="1"/>
  <c r="B30" i="42" s="1"/>
  <c r="B31" i="42" s="1"/>
  <c r="B32" i="42" s="1"/>
  <c r="B33" i="42" s="1"/>
  <c r="B34" i="42" s="1"/>
  <c r="B35" i="42" s="1"/>
  <c r="B36" i="42" s="1"/>
  <c r="B37" i="42" s="1"/>
  <c r="B38" i="42" s="1"/>
  <c r="B39" i="42" s="1"/>
  <c r="B40" i="42" s="1"/>
  <c r="B41" i="42" s="1"/>
  <c r="B42" i="42" s="1"/>
  <c r="B43" i="42" s="1"/>
  <c r="B44" i="42" s="1"/>
  <c r="B45" i="42" s="1"/>
  <c r="B46" i="42" s="1"/>
  <c r="B47" i="42" s="1"/>
  <c r="K12" i="36"/>
  <c r="B50" i="54"/>
  <c r="B56" i="54"/>
  <c r="B61" i="54"/>
  <c r="D25" i="23" l="1"/>
  <c r="H17" i="36"/>
  <c r="B20" i="36"/>
  <c r="B21" i="36" s="1"/>
  <c r="B22" i="36" s="1"/>
  <c r="B24" i="36" s="1"/>
  <c r="H24" i="36" s="1"/>
  <c r="B8" i="36"/>
  <c r="B9" i="36" s="1"/>
  <c r="B10" i="36" s="1"/>
  <c r="B12" i="36" s="1"/>
  <c r="H24" i="20"/>
  <c r="N26" i="20"/>
  <c r="K20" i="57"/>
  <c r="D74" i="32"/>
  <c r="K11" i="36"/>
  <c r="D43" i="32"/>
  <c r="C28" i="32"/>
  <c r="B45" i="54"/>
  <c r="D21" i="23"/>
  <c r="C106" i="32"/>
  <c r="F106" i="32" s="1"/>
  <c r="D87" i="23"/>
  <c r="C33" i="32"/>
  <c r="D69" i="32"/>
  <c r="C108" i="32"/>
  <c r="F108" i="32" s="1"/>
  <c r="G10" i="57"/>
  <c r="D59" i="32"/>
  <c r="F39" i="23"/>
  <c r="L20" i="57"/>
  <c r="I20" i="57"/>
  <c r="K24" i="36" l="1"/>
  <c r="H23" i="36"/>
  <c r="K23" i="36" s="1"/>
  <c r="B12" i="23"/>
  <c r="C23" i="32"/>
  <c r="B8" i="23"/>
  <c r="D85" i="32"/>
  <c r="D12" i="32"/>
  <c r="B21" i="23"/>
  <c r="M20" i="57"/>
  <c r="B25" i="23"/>
  <c r="D80" i="32"/>
  <c r="D83" i="23"/>
  <c r="D102" i="23"/>
  <c r="H102" i="23" s="1"/>
  <c r="F21" i="23"/>
  <c r="C30" i="32"/>
  <c r="H54" i="32"/>
  <c r="D17" i="32" l="1"/>
  <c r="I54" i="32"/>
  <c r="D48" i="32"/>
  <c r="C93" i="32"/>
  <c r="F93" i="32" s="1"/>
  <c r="D54" i="32"/>
  <c r="B87" i="23"/>
  <c r="F25" i="23"/>
  <c r="D12" i="23"/>
  <c r="B106" i="23"/>
  <c r="B83" i="23"/>
  <c r="F83" i="23" s="1"/>
  <c r="B70" i="23"/>
  <c r="B74" i="23"/>
  <c r="F87" i="23" l="1"/>
  <c r="F12" i="23"/>
  <c r="D74" i="23"/>
  <c r="D7" i="32"/>
  <c r="D8" i="23"/>
  <c r="C90" i="32"/>
  <c r="F90" i="32" l="1"/>
  <c r="F8" i="23"/>
  <c r="D70" i="23"/>
  <c r="F74" i="23"/>
  <c r="F70" i="23" l="1"/>
  <c r="B30" i="74" l="1"/>
  <c r="F30" i="74" s="1"/>
  <c r="E18" i="30"/>
  <c r="H28" i="50" l="1"/>
  <c r="E28" i="51" s="1"/>
  <c r="G28" i="50"/>
  <c r="H59" i="32" l="1"/>
  <c r="H59" i="54"/>
  <c r="J56" i="23"/>
  <c r="K56" i="23" s="1"/>
  <c r="H7" i="32"/>
  <c r="H33" i="54"/>
  <c r="J12" i="23"/>
  <c r="H23" i="32"/>
  <c r="H12" i="54"/>
  <c r="J8" i="23"/>
  <c r="H43" i="54"/>
  <c r="H80" i="54"/>
  <c r="H43" i="32"/>
  <c r="J52" i="23"/>
  <c r="K52" i="23" s="1"/>
  <c r="H74" i="54"/>
  <c r="H48" i="32"/>
  <c r="H28" i="32"/>
  <c r="H69" i="54"/>
  <c r="H17" i="32"/>
  <c r="J39" i="23"/>
  <c r="H69" i="32"/>
  <c r="J21" i="23"/>
  <c r="H48" i="54"/>
  <c r="J43" i="23"/>
  <c r="H28" i="54"/>
  <c r="H85" i="32"/>
  <c r="H23" i="54"/>
  <c r="H17" i="54"/>
  <c r="H80" i="32"/>
  <c r="H7" i="54"/>
  <c r="H29" i="32"/>
  <c r="J25" i="23"/>
  <c r="H74" i="32"/>
  <c r="H12" i="32"/>
  <c r="H33" i="32"/>
  <c r="H85" i="54"/>
  <c r="J9" i="33"/>
  <c r="F13" i="78"/>
  <c r="F6" i="78"/>
  <c r="D9" i="29"/>
  <c r="J74" i="20"/>
  <c r="J75" i="20"/>
  <c r="L26" i="20"/>
  <c r="H18" i="29" l="1"/>
  <c r="I7" i="54"/>
  <c r="I17" i="54"/>
  <c r="K43" i="23"/>
  <c r="I74" i="54"/>
  <c r="I12" i="32"/>
  <c r="I48" i="54"/>
  <c r="K39" i="23"/>
  <c r="I12" i="54"/>
  <c r="I23" i="32"/>
  <c r="H8" i="29"/>
  <c r="H7" i="29"/>
  <c r="I33" i="32"/>
  <c r="I48" i="32"/>
  <c r="J83" i="23"/>
  <c r="K21" i="23"/>
  <c r="I43" i="32"/>
  <c r="I59" i="54"/>
  <c r="I59" i="32"/>
  <c r="I23" i="54"/>
  <c r="I80" i="54"/>
  <c r="J74" i="23"/>
  <c r="K12" i="23"/>
  <c r="I85" i="54"/>
  <c r="I74" i="32"/>
  <c r="I17" i="32"/>
  <c r="I80" i="32"/>
  <c r="I85" i="32"/>
  <c r="I69" i="54"/>
  <c r="I43" i="54"/>
  <c r="J87" i="23"/>
  <c r="K25" i="23"/>
  <c r="I28" i="54"/>
  <c r="I69" i="32"/>
  <c r="I28" i="32"/>
  <c r="H30" i="32"/>
  <c r="K8" i="23"/>
  <c r="J70" i="23"/>
  <c r="I33" i="54"/>
  <c r="I7" i="32"/>
  <c r="G19" i="75" l="1"/>
  <c r="K83" i="23"/>
  <c r="H9" i="29"/>
  <c r="I7" i="29"/>
  <c r="L15" i="20"/>
  <c r="K44" i="75"/>
  <c r="L44" i="75" s="1"/>
  <c r="G44" i="75"/>
  <c r="K70" i="23"/>
  <c r="H15" i="20"/>
  <c r="L24" i="20"/>
  <c r="K87" i="23"/>
  <c r="K74" i="23"/>
  <c r="L27" i="20"/>
  <c r="N27" i="20" s="1"/>
  <c r="K19" i="75" l="1"/>
  <c r="L19" i="75" s="1"/>
  <c r="L25" i="20"/>
  <c r="N25" i="20" s="1"/>
  <c r="H25" i="20"/>
  <c r="K12" i="75"/>
  <c r="G12" i="75"/>
  <c r="K34" i="75"/>
  <c r="L34" i="75" s="1"/>
  <c r="G34" i="75"/>
  <c r="G28" i="75"/>
  <c r="K28" i="75"/>
  <c r="L28" i="75" s="1"/>
  <c r="E5" i="59"/>
  <c r="L5" i="59" s="1"/>
  <c r="G5" i="75"/>
  <c r="K5" i="75"/>
  <c r="I36" i="22"/>
  <c r="J36" i="22" s="1"/>
  <c r="E36" i="22"/>
  <c r="N15" i="20"/>
  <c r="G21" i="75"/>
  <c r="K21" i="75"/>
  <c r="E4" i="59"/>
  <c r="G4" i="75"/>
  <c r="K4" i="75"/>
  <c r="G27" i="75"/>
  <c r="K27" i="75"/>
  <c r="K13" i="75"/>
  <c r="G13" i="75"/>
  <c r="G20" i="75"/>
  <c r="K20" i="75"/>
  <c r="L20" i="75" s="1"/>
  <c r="H27" i="20"/>
  <c r="K6" i="75"/>
  <c r="G6" i="75"/>
  <c r="E6" i="59"/>
  <c r="L6" i="59" s="1"/>
  <c r="G43" i="75"/>
  <c r="F45" i="75"/>
  <c r="K43" i="75"/>
  <c r="L17" i="20"/>
  <c r="N17" i="20" s="1"/>
  <c r="L35" i="20"/>
  <c r="N35" i="20" s="1"/>
  <c r="L33" i="20"/>
  <c r="N33" i="20" s="1"/>
  <c r="L19" i="20"/>
  <c r="N19" i="20" s="1"/>
  <c r="L4" i="59" l="1"/>
  <c r="L28" i="20"/>
  <c r="H28" i="20"/>
  <c r="L32" i="20"/>
  <c r="H32" i="20"/>
  <c r="L16" i="20"/>
  <c r="H16" i="20"/>
  <c r="L6" i="75"/>
  <c r="L5" i="75"/>
  <c r="H17" i="20"/>
  <c r="K45" i="75"/>
  <c r="L45" i="75" s="1"/>
  <c r="L43" i="75"/>
  <c r="L13" i="75"/>
  <c r="E16" i="59"/>
  <c r="L16" i="59" s="1"/>
  <c r="G45" i="75"/>
  <c r="L27" i="75"/>
  <c r="L12" i="75"/>
  <c r="H33" i="20"/>
  <c r="L21" i="75"/>
  <c r="L4" i="75"/>
  <c r="H35" i="20"/>
  <c r="H19" i="20"/>
  <c r="K28" i="48" l="1"/>
  <c r="L28" i="48" s="1"/>
  <c r="G28" i="48"/>
  <c r="L20" i="20"/>
  <c r="N20" i="20" s="1"/>
  <c r="H20" i="20"/>
  <c r="N32" i="20"/>
  <c r="N28" i="20"/>
  <c r="N16" i="20"/>
  <c r="L36" i="20"/>
  <c r="N36" i="20" s="1"/>
  <c r="H36" i="20"/>
  <c r="L21" i="20" l="1"/>
  <c r="N21" i="20" s="1"/>
  <c r="H21" i="20"/>
  <c r="L29" i="20"/>
  <c r="H29" i="20"/>
  <c r="F30" i="20"/>
  <c r="H30" i="20" s="1"/>
  <c r="E34" i="22"/>
  <c r="I34" i="22"/>
  <c r="L37" i="20"/>
  <c r="N37" i="20" s="1"/>
  <c r="H37" i="20"/>
  <c r="I35" i="22"/>
  <c r="E35" i="22"/>
  <c r="N29" i="20" l="1"/>
  <c r="L30" i="20"/>
  <c r="N30" i="20" s="1"/>
  <c r="J34" i="22"/>
  <c r="L6" i="20"/>
  <c r="H6" i="20"/>
  <c r="D40" i="20"/>
  <c r="K28" i="51"/>
  <c r="L28" i="51" s="1"/>
  <c r="G28" i="51"/>
  <c r="J35" i="22"/>
  <c r="L10" i="20"/>
  <c r="N10" i="20" s="1"/>
  <c r="L8" i="20"/>
  <c r="N8" i="20" s="1"/>
  <c r="H10" i="20" l="1"/>
  <c r="D79" i="20"/>
  <c r="D67" i="20"/>
  <c r="H8" i="20"/>
  <c r="N6" i="20"/>
  <c r="L7" i="20"/>
  <c r="N7" i="20" s="1"/>
  <c r="H7" i="20"/>
  <c r="L48" i="20"/>
  <c r="N48" i="20" s="1"/>
  <c r="L58" i="20"/>
  <c r="N58" i="20" s="1"/>
  <c r="L9" i="20"/>
  <c r="L34" i="20" l="1"/>
  <c r="F38" i="20"/>
  <c r="H38" i="20" s="1"/>
  <c r="H34" i="20"/>
  <c r="N9" i="20"/>
  <c r="H9" i="20"/>
  <c r="F47" i="47"/>
  <c r="L47" i="47" s="1"/>
  <c r="L47" i="20"/>
  <c r="H47" i="20"/>
  <c r="L18" i="20"/>
  <c r="F22" i="20"/>
  <c r="H22" i="20" s="1"/>
  <c r="H18" i="20"/>
  <c r="H48" i="20"/>
  <c r="L11" i="20"/>
  <c r="N11" i="20" s="1"/>
  <c r="H11" i="20"/>
  <c r="E44" i="51"/>
  <c r="D75" i="20" s="1"/>
  <c r="H58" i="20"/>
  <c r="L57" i="20"/>
  <c r="H57" i="20"/>
  <c r="E43" i="51"/>
  <c r="H45" i="50"/>
  <c r="L62" i="20"/>
  <c r="N62" i="20" s="1"/>
  <c r="L52" i="20"/>
  <c r="N52" i="20" s="1"/>
  <c r="L60" i="20"/>
  <c r="N60" i="20" s="1"/>
  <c r="L50" i="20"/>
  <c r="N50" i="20" s="1"/>
  <c r="L22" i="20" l="1"/>
  <c r="N22" i="20" s="1"/>
  <c r="N18" i="20"/>
  <c r="L59" i="20"/>
  <c r="N59" i="20" s="1"/>
  <c r="H59" i="20"/>
  <c r="H62" i="20"/>
  <c r="N57" i="20"/>
  <c r="N47" i="20"/>
  <c r="H50" i="20"/>
  <c r="H52" i="20"/>
  <c r="H60" i="20"/>
  <c r="L38" i="20"/>
  <c r="N38" i="20" s="1"/>
  <c r="N34" i="20"/>
  <c r="L49" i="20"/>
  <c r="N49" i="20" s="1"/>
  <c r="H49" i="20"/>
  <c r="E45" i="51"/>
  <c r="D74" i="20"/>
  <c r="L53" i="20" l="1"/>
  <c r="N53" i="20" s="1"/>
  <c r="H53" i="20"/>
  <c r="L63" i="20"/>
  <c r="N63" i="20" s="1"/>
  <c r="H63" i="20"/>
  <c r="L12" i="20"/>
  <c r="H12" i="20"/>
  <c r="F13" i="20"/>
  <c r="D77" i="20"/>
  <c r="C16" i="59"/>
  <c r="E55" i="51"/>
  <c r="L51" i="20" l="1"/>
  <c r="F55" i="20"/>
  <c r="H51" i="20"/>
  <c r="F75" i="20"/>
  <c r="K44" i="51"/>
  <c r="L44" i="51" s="1"/>
  <c r="G44" i="51"/>
  <c r="L54" i="20"/>
  <c r="N54" i="20" s="1"/>
  <c r="H54" i="20"/>
  <c r="L61" i="20"/>
  <c r="F65" i="20"/>
  <c r="H65" i="20" s="1"/>
  <c r="H61" i="20"/>
  <c r="G43" i="51"/>
  <c r="F45" i="51"/>
  <c r="K43" i="51"/>
  <c r="F74" i="20"/>
  <c r="F40" i="20"/>
  <c r="H13" i="20"/>
  <c r="L64" i="20"/>
  <c r="N64" i="20" s="1"/>
  <c r="H64" i="20"/>
  <c r="N12" i="20"/>
  <c r="L13" i="20"/>
  <c r="L43" i="51" l="1"/>
  <c r="K45" i="51"/>
  <c r="L45" i="51" s="1"/>
  <c r="G45" i="51"/>
  <c r="D16" i="59"/>
  <c r="L75" i="20"/>
  <c r="N75" i="20" s="1"/>
  <c r="H75" i="20"/>
  <c r="L40" i="20"/>
  <c r="N13" i="20"/>
  <c r="F67" i="20"/>
  <c r="H55" i="20"/>
  <c r="N61" i="20"/>
  <c r="L65" i="20"/>
  <c r="N65" i="20" s="1"/>
  <c r="N51" i="20"/>
  <c r="L55" i="20"/>
  <c r="H40" i="20"/>
  <c r="L74" i="20"/>
  <c r="F77" i="20"/>
  <c r="F79" i="20" s="1"/>
  <c r="H74" i="20"/>
  <c r="H79" i="20" l="1"/>
  <c r="F16" i="59"/>
  <c r="G16" i="59" s="1"/>
  <c r="K16" i="59"/>
  <c r="M16" i="59" s="1"/>
  <c r="N16" i="59" s="1"/>
  <c r="L77" i="20"/>
  <c r="N77" i="20" s="1"/>
  <c r="N74" i="20"/>
  <c r="H67" i="20"/>
  <c r="N40" i="20"/>
  <c r="L67" i="20"/>
  <c r="N67" i="20" s="1"/>
  <c r="N55" i="20"/>
  <c r="L79" i="20" l="1"/>
  <c r="C16" i="42"/>
  <c r="E47" i="47" l="1"/>
  <c r="N79" i="20"/>
  <c r="H70" i="47" s="1"/>
  <c r="K47" i="47" l="1"/>
  <c r="I70" i="47" s="1"/>
  <c r="J70" i="47" s="1"/>
  <c r="G47" i="47"/>
  <c r="H65" i="47" l="1"/>
  <c r="M47" i="47"/>
  <c r="F30" i="62" l="1"/>
  <c r="K30" i="62" s="1"/>
  <c r="F29" i="62"/>
  <c r="K29" i="62" s="1"/>
  <c r="F31" i="62"/>
  <c r="K31" i="62" s="1"/>
  <c r="P31" i="21" l="1"/>
  <c r="P30" i="21"/>
  <c r="P29" i="21"/>
  <c r="H22" i="57"/>
  <c r="L21" i="57"/>
  <c r="L22" i="57" s="1"/>
  <c r="N30" i="21" l="1"/>
  <c r="N31" i="21" l="1"/>
  <c r="N29" i="21"/>
  <c r="D32" i="21"/>
  <c r="D32" i="62"/>
  <c r="F28" i="62"/>
  <c r="K28" i="62" s="1"/>
  <c r="D32" i="63" l="1"/>
  <c r="D102" i="63" s="1"/>
  <c r="B5" i="72" s="1"/>
  <c r="J30" i="63"/>
  <c r="F30" i="63"/>
  <c r="K30" i="63" s="1"/>
  <c r="F32" i="62"/>
  <c r="K32" i="62"/>
  <c r="D102" i="62"/>
  <c r="K102" i="62" s="1"/>
  <c r="J29" i="63"/>
  <c r="F29" i="63"/>
  <c r="K29" i="63" s="1"/>
  <c r="B32" i="62"/>
  <c r="P28" i="21"/>
  <c r="D102" i="21"/>
  <c r="P102" i="21" s="1"/>
  <c r="P32" i="21"/>
  <c r="J31" i="63"/>
  <c r="F31" i="63"/>
  <c r="K31" i="63" s="1"/>
  <c r="J29" i="62" l="1"/>
  <c r="J31" i="62"/>
  <c r="D11" i="63"/>
  <c r="D99" i="63" s="1"/>
  <c r="B8" i="72"/>
  <c r="B32" i="21"/>
  <c r="D82" i="63"/>
  <c r="E29" i="22"/>
  <c r="I29" i="22"/>
  <c r="B32" i="63"/>
  <c r="J30" i="62"/>
  <c r="N32" i="21" l="1"/>
  <c r="N28" i="21"/>
  <c r="B82" i="63"/>
  <c r="J29" i="22"/>
  <c r="J30" i="21"/>
  <c r="F30" i="21"/>
  <c r="K30" i="21" s="1"/>
  <c r="O30" i="21"/>
  <c r="D111" i="63"/>
  <c r="B20" i="73"/>
  <c r="B5" i="69"/>
  <c r="J81" i="63" l="1"/>
  <c r="F81" i="63"/>
  <c r="K81" i="63" s="1"/>
  <c r="J29" i="21"/>
  <c r="F29" i="21"/>
  <c r="K29" i="21" s="1"/>
  <c r="O29" i="21"/>
  <c r="J31" i="21"/>
  <c r="F31" i="21"/>
  <c r="K31" i="21" s="1"/>
  <c r="O31" i="21"/>
  <c r="J79" i="63"/>
  <c r="F79" i="63"/>
  <c r="K79" i="63" s="1"/>
  <c r="B8" i="69"/>
  <c r="J80" i="63"/>
  <c r="F80" i="63"/>
  <c r="K80" i="63" s="1"/>
  <c r="B24" i="70" l="1"/>
  <c r="O28" i="21"/>
  <c r="B11" i="63"/>
  <c r="J28" i="62"/>
  <c r="J32" i="62" s="1"/>
  <c r="C32" i="62"/>
  <c r="J28" i="21"/>
  <c r="J32" i="21" s="1"/>
  <c r="C32" i="21"/>
  <c r="F28" i="21"/>
  <c r="K28" i="21" s="1"/>
  <c r="K32" i="21" s="1"/>
  <c r="J8" i="63" l="1"/>
  <c r="F8" i="63"/>
  <c r="K8" i="63" s="1"/>
  <c r="J9" i="63"/>
  <c r="F9" i="63"/>
  <c r="K9" i="63" s="1"/>
  <c r="I17" i="22"/>
  <c r="J17" i="22" s="1"/>
  <c r="E17" i="22"/>
  <c r="F32" i="21"/>
  <c r="C32" i="63"/>
  <c r="F32" i="63" s="1"/>
  <c r="J28" i="63"/>
  <c r="J32" i="63" s="1"/>
  <c r="F28" i="63"/>
  <c r="K28" i="63" s="1"/>
  <c r="K32" i="63" s="1"/>
  <c r="J10" i="63"/>
  <c r="F10" i="63"/>
  <c r="K10" i="63" s="1"/>
  <c r="F24" i="63" l="1"/>
  <c r="K24" i="63" s="1"/>
  <c r="J78" i="63"/>
  <c r="J82" i="63" s="1"/>
  <c r="C82" i="63"/>
  <c r="F78" i="63"/>
  <c r="K78" i="63" s="1"/>
  <c r="K82" i="63" s="1"/>
  <c r="O32" i="21"/>
  <c r="C11" i="63"/>
  <c r="F11" i="63" s="1"/>
  <c r="J7" i="63"/>
  <c r="F7" i="63"/>
  <c r="K7" i="63" s="1"/>
  <c r="K11" i="63" s="1"/>
  <c r="F82" i="63" l="1"/>
  <c r="J11" i="63"/>
  <c r="P79" i="21" l="1"/>
  <c r="P81" i="21"/>
  <c r="F59" i="63"/>
  <c r="K59" i="63" s="1"/>
  <c r="B9" i="64"/>
  <c r="P80" i="21"/>
  <c r="P64" i="21"/>
  <c r="D60" i="62" l="1"/>
  <c r="D107" i="62" s="1"/>
  <c r="B21" i="67" s="1"/>
  <c r="P16" i="21"/>
  <c r="N80" i="21"/>
  <c r="N81" i="21"/>
  <c r="D37" i="63"/>
  <c r="N79" i="21"/>
  <c r="P22" i="21"/>
  <c r="B6" i="65"/>
  <c r="P15" i="21"/>
  <c r="P17" i="21"/>
  <c r="F17" i="63"/>
  <c r="K17" i="63" s="1"/>
  <c r="D38" i="63"/>
  <c r="P59" i="21"/>
  <c r="P23" i="21"/>
  <c r="P24" i="21"/>
  <c r="B38" i="63"/>
  <c r="D36" i="63"/>
  <c r="D25" i="63" l="1"/>
  <c r="D101" i="63" s="1"/>
  <c r="B15" i="65" s="1"/>
  <c r="D38" i="22"/>
  <c r="D71" i="62"/>
  <c r="B22" i="67"/>
  <c r="P50" i="21"/>
  <c r="D67" i="21"/>
  <c r="B28" i="67"/>
  <c r="B87" i="54"/>
  <c r="B37" i="63"/>
  <c r="D72" i="62"/>
  <c r="D67" i="62"/>
  <c r="D108" i="62" s="1"/>
  <c r="B21" i="64" s="1"/>
  <c r="B30" i="54"/>
  <c r="D82" i="62"/>
  <c r="D52" i="63"/>
  <c r="D106" i="63" s="1"/>
  <c r="B22" i="64"/>
  <c r="D82" i="21"/>
  <c r="P78" i="21"/>
  <c r="B5" i="64"/>
  <c r="B36" i="63"/>
  <c r="D73" i="62"/>
  <c r="D73" i="21"/>
  <c r="P51" i="21"/>
  <c r="B38" i="22"/>
  <c r="P49" i="21"/>
  <c r="D52" i="62"/>
  <c r="D106" i="62" s="1"/>
  <c r="D70" i="62"/>
  <c r="D52" i="21"/>
  <c r="P48" i="21"/>
  <c r="B40" i="64" l="1"/>
  <c r="D36" i="21"/>
  <c r="P8" i="21"/>
  <c r="B28" i="64"/>
  <c r="N24" i="21"/>
  <c r="D106" i="21"/>
  <c r="P52" i="21"/>
  <c r="D36" i="62"/>
  <c r="B14" i="54"/>
  <c r="D37" i="62"/>
  <c r="D111" i="62"/>
  <c r="B5" i="65" s="1"/>
  <c r="N16" i="21"/>
  <c r="N64" i="21"/>
  <c r="D108" i="21"/>
  <c r="N17" i="21"/>
  <c r="B25" i="63"/>
  <c r="B82" i="62"/>
  <c r="P65" i="21"/>
  <c r="N59" i="21"/>
  <c r="D35" i="62"/>
  <c r="D25" i="62"/>
  <c r="D101" i="62" s="1"/>
  <c r="B39" i="64" s="1"/>
  <c r="B53" i="23"/>
  <c r="B71" i="54"/>
  <c r="B67" i="62"/>
  <c r="D72" i="63"/>
  <c r="N23" i="21"/>
  <c r="B25" i="54"/>
  <c r="B72" i="62"/>
  <c r="J24" i="63"/>
  <c r="D73" i="63"/>
  <c r="P73" i="21" s="1"/>
  <c r="B11" i="72"/>
  <c r="N22" i="21"/>
  <c r="B82" i="54"/>
  <c r="B57" i="23"/>
  <c r="D25" i="21"/>
  <c r="P21" i="21"/>
  <c r="B60" i="62"/>
  <c r="B10" i="64"/>
  <c r="P7" i="21"/>
  <c r="D11" i="21"/>
  <c r="D35" i="21"/>
  <c r="D18" i="62"/>
  <c r="D100" i="62" s="1"/>
  <c r="B52" i="67" s="1"/>
  <c r="B73" i="62"/>
  <c r="D37" i="21"/>
  <c r="P37" i="21" s="1"/>
  <c r="P9" i="21"/>
  <c r="P63" i="21"/>
  <c r="D67" i="63"/>
  <c r="D108" i="63" s="1"/>
  <c r="B10" i="65" s="1"/>
  <c r="N15" i="21"/>
  <c r="D74" i="62"/>
  <c r="C18" i="30"/>
  <c r="C7" i="30" s="1"/>
  <c r="K21" i="57"/>
  <c r="B22" i="57"/>
  <c r="D11" i="62"/>
  <c r="D99" i="62" s="1"/>
  <c r="B13" i="71"/>
  <c r="D109" i="62"/>
  <c r="B44" i="23"/>
  <c r="I21" i="57"/>
  <c r="I22" i="57" s="1"/>
  <c r="G22" i="57"/>
  <c r="D111" i="21"/>
  <c r="P111" i="21" s="1"/>
  <c r="P82" i="21"/>
  <c r="D38" i="62"/>
  <c r="B8" i="70"/>
  <c r="B41" i="64"/>
  <c r="B37" i="67"/>
  <c r="B18" i="65"/>
  <c r="B16" i="66" s="1"/>
  <c r="P66" i="21"/>
  <c r="B76" i="54"/>
  <c r="D38" i="21"/>
  <c r="P38" i="21" s="1"/>
  <c r="P10" i="21"/>
  <c r="B14" i="71"/>
  <c r="N65" i="21" l="1"/>
  <c r="B54" i="67"/>
  <c r="B47" i="23"/>
  <c r="P57" i="21"/>
  <c r="D71" i="21"/>
  <c r="B31" i="67"/>
  <c r="D103" i="62"/>
  <c r="K22" i="57"/>
  <c r="M21" i="57"/>
  <c r="M22" i="57" s="1"/>
  <c r="D28" i="74"/>
  <c r="D23" i="74"/>
  <c r="B53" i="67"/>
  <c r="F52" i="47"/>
  <c r="D99" i="21"/>
  <c r="P11" i="21"/>
  <c r="B6" i="66"/>
  <c r="B71" i="62"/>
  <c r="B58" i="67"/>
  <c r="J79" i="62"/>
  <c r="F79" i="62"/>
  <c r="K79" i="62" s="1"/>
  <c r="B18" i="62"/>
  <c r="C13" i="49"/>
  <c r="B31" i="64"/>
  <c r="J57" i="62"/>
  <c r="F57" i="62"/>
  <c r="K57" i="62" s="1"/>
  <c r="G15" i="50"/>
  <c r="B45" i="67" s="1"/>
  <c r="H15" i="50"/>
  <c r="B36" i="21"/>
  <c r="H30" i="50"/>
  <c r="G30" i="50"/>
  <c r="H107" i="23"/>
  <c r="B59" i="23"/>
  <c r="B46" i="64"/>
  <c r="B10" i="66" s="1"/>
  <c r="P67" i="21"/>
  <c r="B12" i="65"/>
  <c r="B15" i="66" s="1"/>
  <c r="B59" i="67"/>
  <c r="B11" i="70" s="1"/>
  <c r="B60" i="23"/>
  <c r="B61" i="23" s="1"/>
  <c r="H108" i="23" s="1"/>
  <c r="B14" i="72"/>
  <c r="J58" i="62"/>
  <c r="F58" i="62"/>
  <c r="K58" i="62" s="1"/>
  <c r="D39" i="62"/>
  <c r="P108" i="21"/>
  <c r="B7" i="65"/>
  <c r="J80" i="62"/>
  <c r="F80" i="62"/>
  <c r="K80" i="62" s="1"/>
  <c r="J59" i="62"/>
  <c r="F59" i="62"/>
  <c r="K59" i="62" s="1"/>
  <c r="H31" i="50"/>
  <c r="G31" i="50"/>
  <c r="J64" i="63"/>
  <c r="F64" i="63"/>
  <c r="K64" i="63" s="1"/>
  <c r="P36" i="21"/>
  <c r="D71" i="63"/>
  <c r="B35" i="54"/>
  <c r="B19" i="54"/>
  <c r="B20" i="71"/>
  <c r="B7" i="73" s="1"/>
  <c r="J81" i="62"/>
  <c r="F81" i="62"/>
  <c r="K81" i="62" s="1"/>
  <c r="D101" i="21"/>
  <c r="P101" i="21" s="1"/>
  <c r="P25" i="21"/>
  <c r="B37" i="21"/>
  <c r="B8" i="66"/>
  <c r="B38" i="62"/>
  <c r="B25" i="62"/>
  <c r="C30" i="57"/>
  <c r="C22" i="57"/>
  <c r="J22" i="63"/>
  <c r="F22" i="63"/>
  <c r="K22" i="63" s="1"/>
  <c r="P14" i="21"/>
  <c r="D18" i="21"/>
  <c r="J23" i="63"/>
  <c r="F23" i="63"/>
  <c r="K23" i="63" s="1"/>
  <c r="K15" i="57"/>
  <c r="D18" i="63"/>
  <c r="D100" i="63" s="1"/>
  <c r="D35" i="63"/>
  <c r="P35" i="21" s="1"/>
  <c r="B9" i="54"/>
  <c r="D60" i="63"/>
  <c r="D107" i="63" s="1"/>
  <c r="D70" i="63"/>
  <c r="P106" i="21"/>
  <c r="D60" i="21"/>
  <c r="P56" i="21"/>
  <c r="D70" i="21"/>
  <c r="B73" i="63"/>
  <c r="B82" i="21"/>
  <c r="N78" i="21"/>
  <c r="B18" i="30"/>
  <c r="B7" i="30" s="1"/>
  <c r="H13" i="50"/>
  <c r="G13" i="50"/>
  <c r="B6" i="64" s="1"/>
  <c r="D39" i="21"/>
  <c r="P58" i="21"/>
  <c r="D72" i="21"/>
  <c r="P72" i="21" s="1"/>
  <c r="B67" i="63"/>
  <c r="J66" i="62"/>
  <c r="F66" i="62"/>
  <c r="K66" i="62" s="1"/>
  <c r="B44" i="67"/>
  <c r="C12" i="49"/>
  <c r="B40" i="23" l="1"/>
  <c r="J65" i="62"/>
  <c r="F65" i="62"/>
  <c r="K65" i="62" s="1"/>
  <c r="J15" i="63"/>
  <c r="C36" i="63"/>
  <c r="F36" i="63" s="1"/>
  <c r="K36" i="63" s="1"/>
  <c r="F15" i="63"/>
  <c r="K15" i="63" s="1"/>
  <c r="B45" i="64"/>
  <c r="B25" i="21"/>
  <c r="N25" i="21" s="1"/>
  <c r="N21" i="21"/>
  <c r="H37" i="50"/>
  <c r="G37" i="50"/>
  <c r="N48" i="21"/>
  <c r="B52" i="21"/>
  <c r="B52" i="63"/>
  <c r="D45" i="67"/>
  <c r="B36" i="64"/>
  <c r="B9" i="66" s="1"/>
  <c r="C17" i="30"/>
  <c r="C6" i="30" s="1"/>
  <c r="E37" i="22"/>
  <c r="I37" i="22"/>
  <c r="H16" i="50"/>
  <c r="G16" i="50"/>
  <c r="B32" i="64" s="1"/>
  <c r="D32" i="64" s="1"/>
  <c r="F51" i="47"/>
  <c r="J21" i="82"/>
  <c r="C28" i="57"/>
  <c r="J21" i="84"/>
  <c r="D74" i="63"/>
  <c r="N49" i="21"/>
  <c r="D39" i="63"/>
  <c r="J36" i="63"/>
  <c r="B42" i="64"/>
  <c r="P70" i="21"/>
  <c r="D74" i="21"/>
  <c r="D100" i="21"/>
  <c r="P100" i="21" s="1"/>
  <c r="P18" i="21"/>
  <c r="J22" i="62"/>
  <c r="F22" i="62"/>
  <c r="K22" i="62" s="1"/>
  <c r="B70" i="63"/>
  <c r="E31" i="51"/>
  <c r="B44" i="64"/>
  <c r="E31" i="75"/>
  <c r="B14" i="66"/>
  <c r="B20" i="65"/>
  <c r="J24" i="62"/>
  <c r="F24" i="62"/>
  <c r="K24" i="62" s="1"/>
  <c r="J81" i="21"/>
  <c r="Q81" i="21" s="1"/>
  <c r="F81" i="21"/>
  <c r="K81" i="21" s="1"/>
  <c r="O81" i="21"/>
  <c r="J17" i="63"/>
  <c r="J38" i="63" s="1"/>
  <c r="C38" i="63"/>
  <c r="F38" i="63" s="1"/>
  <c r="K38" i="63" s="1"/>
  <c r="D27" i="74"/>
  <c r="D22" i="74"/>
  <c r="D6" i="64"/>
  <c r="J15" i="62"/>
  <c r="F15" i="62"/>
  <c r="K15" i="62" s="1"/>
  <c r="B11" i="69"/>
  <c r="D109" i="63"/>
  <c r="B17" i="69"/>
  <c r="D103" i="63"/>
  <c r="B70" i="62"/>
  <c r="B74" i="62" s="1"/>
  <c r="B52" i="62"/>
  <c r="N50" i="21"/>
  <c r="B72" i="21"/>
  <c r="K13" i="48"/>
  <c r="G13" i="48"/>
  <c r="H36" i="50"/>
  <c r="G36" i="50"/>
  <c r="B55" i="67" s="1"/>
  <c r="N63" i="21"/>
  <c r="E30" i="75"/>
  <c r="B57" i="67"/>
  <c r="E30" i="51"/>
  <c r="J64" i="62"/>
  <c r="F64" i="62"/>
  <c r="K64" i="62" s="1"/>
  <c r="B38" i="67"/>
  <c r="B9" i="70" s="1"/>
  <c r="J99" i="23"/>
  <c r="B46" i="23"/>
  <c r="E13" i="51"/>
  <c r="B7" i="64"/>
  <c r="N82" i="21"/>
  <c r="D107" i="21"/>
  <c r="P60" i="21"/>
  <c r="J79" i="21"/>
  <c r="Q79" i="21" s="1"/>
  <c r="F79" i="21"/>
  <c r="K79" i="21" s="1"/>
  <c r="O79" i="21"/>
  <c r="B19" i="37"/>
  <c r="B20" i="37" s="1"/>
  <c r="B21" i="73"/>
  <c r="B24" i="72"/>
  <c r="B17" i="72"/>
  <c r="J80" i="21"/>
  <c r="Q80" i="21" s="1"/>
  <c r="F80" i="21"/>
  <c r="K80" i="21" s="1"/>
  <c r="O80" i="21"/>
  <c r="E22" i="57"/>
  <c r="P99" i="21"/>
  <c r="D103" i="21"/>
  <c r="H86" i="54"/>
  <c r="C87" i="54"/>
  <c r="D87" i="54" s="1"/>
  <c r="D86" i="54"/>
  <c r="B49" i="67"/>
  <c r="B10" i="70" s="1"/>
  <c r="D22" i="57"/>
  <c r="P71" i="21"/>
  <c r="B27" i="67"/>
  <c r="C82" i="54"/>
  <c r="D82" i="54" s="1"/>
  <c r="D57" i="23"/>
  <c r="D81" i="54"/>
  <c r="H81" i="54"/>
  <c r="L104" i="23"/>
  <c r="J59" i="63"/>
  <c r="N51" i="21"/>
  <c r="B17" i="30"/>
  <c r="B6" i="30" s="1"/>
  <c r="B47" i="67"/>
  <c r="B75" i="67" s="1"/>
  <c r="E15" i="51"/>
  <c r="E15" i="75"/>
  <c r="J100" i="23"/>
  <c r="D55" i="67" l="1"/>
  <c r="B76" i="67"/>
  <c r="B18" i="63"/>
  <c r="B35" i="63"/>
  <c r="B39" i="63" s="1"/>
  <c r="O24" i="21"/>
  <c r="J24" i="21"/>
  <c r="F24" i="21"/>
  <c r="K24" i="21" s="1"/>
  <c r="B48" i="23"/>
  <c r="D42" i="64"/>
  <c r="B54" i="64"/>
  <c r="P39" i="21"/>
  <c r="J50" i="62"/>
  <c r="C72" i="62"/>
  <c r="F50" i="62"/>
  <c r="K50" i="62" s="1"/>
  <c r="P107" i="21"/>
  <c r="D109" i="21"/>
  <c r="P109" i="21" s="1"/>
  <c r="F59" i="21"/>
  <c r="K59" i="21" s="1"/>
  <c r="O59" i="21"/>
  <c r="J59" i="21"/>
  <c r="Q59" i="21" s="1"/>
  <c r="E36" i="51"/>
  <c r="E36" i="75"/>
  <c r="D7" i="74"/>
  <c r="D12" i="74"/>
  <c r="K37" i="48"/>
  <c r="L37" i="48" s="1"/>
  <c r="G37" i="48"/>
  <c r="O50" i="21"/>
  <c r="J50" i="21"/>
  <c r="F50" i="21"/>
  <c r="K50" i="21" s="1"/>
  <c r="B71" i="63"/>
  <c r="B36" i="62"/>
  <c r="N36" i="21" s="1"/>
  <c r="N8" i="21"/>
  <c r="B4" i="25"/>
  <c r="B7" i="25"/>
  <c r="F7" i="25" s="1"/>
  <c r="J7" i="25" s="1"/>
  <c r="L27" i="47"/>
  <c r="L64" i="47" s="1"/>
  <c r="H16" i="65"/>
  <c r="J16" i="65" s="1"/>
  <c r="H6" i="65"/>
  <c r="H15" i="65"/>
  <c r="H10" i="65"/>
  <c r="H5" i="65"/>
  <c r="J16" i="62"/>
  <c r="F16" i="62"/>
  <c r="K16" i="62" s="1"/>
  <c r="J37" i="22"/>
  <c r="F9" i="64"/>
  <c r="N52" i="21"/>
  <c r="C12" i="59"/>
  <c r="B37" i="62"/>
  <c r="N37" i="21" s="1"/>
  <c r="N9" i="21"/>
  <c r="I81" i="54"/>
  <c r="H82" i="54"/>
  <c r="B27" i="64"/>
  <c r="J16" i="63"/>
  <c r="J37" i="63" s="1"/>
  <c r="C37" i="63"/>
  <c r="F37" i="63" s="1"/>
  <c r="K37" i="63" s="1"/>
  <c r="F16" i="63"/>
  <c r="K16" i="63" s="1"/>
  <c r="D93" i="62"/>
  <c r="D93" i="63"/>
  <c r="J56" i="62"/>
  <c r="J60" i="62" s="1"/>
  <c r="C60" i="62"/>
  <c r="F56" i="62"/>
  <c r="K56" i="62" s="1"/>
  <c r="K60" i="62" s="1"/>
  <c r="N14" i="21"/>
  <c r="B18" i="21"/>
  <c r="N18" i="21" s="1"/>
  <c r="F64" i="21"/>
  <c r="K64" i="21" s="1"/>
  <c r="J64" i="21"/>
  <c r="Q64" i="21" s="1"/>
  <c r="O64" i="21"/>
  <c r="B14" i="69"/>
  <c r="F27" i="74"/>
  <c r="B17" i="66"/>
  <c r="J17" i="62"/>
  <c r="F17" i="62"/>
  <c r="K17" i="62" s="1"/>
  <c r="J51" i="62"/>
  <c r="C73" i="62"/>
  <c r="F51" i="62"/>
  <c r="K51" i="62" s="1"/>
  <c r="C76" i="54"/>
  <c r="D76" i="54" s="1"/>
  <c r="H75" i="54"/>
  <c r="D75" i="54"/>
  <c r="C109" i="54"/>
  <c r="F109" i="54" s="1"/>
  <c r="P103" i="21"/>
  <c r="N66" i="21"/>
  <c r="B73" i="21"/>
  <c r="N73" i="21" s="1"/>
  <c r="B67" i="21"/>
  <c r="N67" i="21" s="1"/>
  <c r="D94" i="63"/>
  <c r="D94" i="62"/>
  <c r="N7" i="21"/>
  <c r="B11" i="21"/>
  <c r="B35" i="21"/>
  <c r="B60" i="63"/>
  <c r="D13" i="49"/>
  <c r="K16" i="48"/>
  <c r="G16" i="48"/>
  <c r="J57" i="23"/>
  <c r="D60" i="23"/>
  <c r="F57" i="23"/>
  <c r="B23" i="74"/>
  <c r="K36" i="48"/>
  <c r="L36" i="48" s="1"/>
  <c r="G36" i="48"/>
  <c r="H17" i="72"/>
  <c r="B22" i="72"/>
  <c r="B25" i="73"/>
  <c r="F20" i="37"/>
  <c r="J20" i="37" s="1"/>
  <c r="K20" i="37" s="1"/>
  <c r="B21" i="37"/>
  <c r="F5" i="64"/>
  <c r="L13" i="48"/>
  <c r="B20" i="69"/>
  <c r="B26" i="70" s="1"/>
  <c r="J16" i="21"/>
  <c r="O16" i="21"/>
  <c r="F16" i="21"/>
  <c r="K16" i="21" s="1"/>
  <c r="P74" i="21"/>
  <c r="K30" i="48"/>
  <c r="G30" i="48"/>
  <c r="J50" i="63"/>
  <c r="F50" i="63"/>
  <c r="K50" i="63" s="1"/>
  <c r="B35" i="62"/>
  <c r="B11" i="62"/>
  <c r="B34" i="64"/>
  <c r="B53" i="64" s="1"/>
  <c r="E16" i="51"/>
  <c r="E16" i="75"/>
  <c r="B19" i="71"/>
  <c r="B7" i="74" s="1"/>
  <c r="D70" i="54"/>
  <c r="C71" i="54"/>
  <c r="D71" i="54" s="1"/>
  <c r="D53" i="23"/>
  <c r="C107" i="54"/>
  <c r="F107" i="54" s="1"/>
  <c r="H70" i="54"/>
  <c r="K31" i="48"/>
  <c r="G31" i="48"/>
  <c r="F27" i="47"/>
  <c r="F64" i="47" s="1"/>
  <c r="H5" i="72"/>
  <c r="H11" i="72"/>
  <c r="B50" i="64"/>
  <c r="K15" i="48"/>
  <c r="D12" i="49"/>
  <c r="G15" i="48"/>
  <c r="E37" i="51"/>
  <c r="E37" i="75"/>
  <c r="D6" i="74"/>
  <c r="D11" i="74"/>
  <c r="B38" i="21"/>
  <c r="N38" i="21" s="1"/>
  <c r="N10" i="21"/>
  <c r="I86" i="54"/>
  <c r="H87" i="54"/>
  <c r="B22" i="73"/>
  <c r="J23" i="62"/>
  <c r="F23" i="62"/>
  <c r="K23" i="62" s="1"/>
  <c r="I20" i="22"/>
  <c r="E20" i="22"/>
  <c r="I33" i="22"/>
  <c r="E33" i="22"/>
  <c r="C38" i="22"/>
  <c r="E38" i="22" s="1"/>
  <c r="P94" i="21" l="1"/>
  <c r="B39" i="62"/>
  <c r="C29" i="54"/>
  <c r="E50" i="75"/>
  <c r="E50" i="51"/>
  <c r="F7" i="74"/>
  <c r="B12" i="74"/>
  <c r="L30" i="48"/>
  <c r="F54" i="67"/>
  <c r="D54" i="67" s="1"/>
  <c r="F31" i="64"/>
  <c r="L16" i="48"/>
  <c r="J8" i="21"/>
  <c r="F8" i="21"/>
  <c r="K8" i="21" s="1"/>
  <c r="C36" i="21"/>
  <c r="J63" i="62"/>
  <c r="J67" i="62" s="1"/>
  <c r="C67" i="62"/>
  <c r="F63" i="62"/>
  <c r="K63" i="62" s="1"/>
  <c r="K67" i="62" s="1"/>
  <c r="C30" i="54"/>
  <c r="D30" i="54" s="1"/>
  <c r="H29" i="54"/>
  <c r="D5" i="64"/>
  <c r="J25" i="82"/>
  <c r="I13" i="49"/>
  <c r="J13" i="49" s="1"/>
  <c r="E13" i="49"/>
  <c r="I75" i="54"/>
  <c r="H76" i="54"/>
  <c r="I76" i="54" s="1"/>
  <c r="C34" i="54"/>
  <c r="B72" i="63"/>
  <c r="N72" i="21" s="1"/>
  <c r="N58" i="21"/>
  <c r="I70" i="54"/>
  <c r="H71" i="54"/>
  <c r="I71" i="54" s="1"/>
  <c r="F10" i="21"/>
  <c r="K10" i="21" s="1"/>
  <c r="C38" i="21"/>
  <c r="O10" i="21"/>
  <c r="J10" i="21"/>
  <c r="C25" i="63"/>
  <c r="F25" i="63" s="1"/>
  <c r="J21" i="63"/>
  <c r="J25" i="63" s="1"/>
  <c r="F21" i="63"/>
  <c r="K21" i="63" s="1"/>
  <c r="K25" i="63" s="1"/>
  <c r="J73" i="62"/>
  <c r="F73" i="62"/>
  <c r="K73" i="62" s="1"/>
  <c r="F66" i="21"/>
  <c r="K66" i="21" s="1"/>
  <c r="J66" i="21"/>
  <c r="O66" i="21"/>
  <c r="E6" i="22"/>
  <c r="I6" i="22"/>
  <c r="J48" i="63"/>
  <c r="C52" i="63"/>
  <c r="F48" i="63"/>
  <c r="K48" i="63" s="1"/>
  <c r="I38" i="22"/>
  <c r="J38" i="22" s="1"/>
  <c r="J33" i="22"/>
  <c r="J20" i="22"/>
  <c r="F6" i="65"/>
  <c r="H23" i="65"/>
  <c r="C67" i="21"/>
  <c r="C13" i="59"/>
  <c r="C73" i="63"/>
  <c r="J66" i="63"/>
  <c r="F66" i="63"/>
  <c r="K66" i="63" s="1"/>
  <c r="F23" i="74"/>
  <c r="B28" i="74"/>
  <c r="O49" i="21"/>
  <c r="F49" i="21"/>
  <c r="K49" i="21" s="1"/>
  <c r="J49" i="21"/>
  <c r="B39" i="21"/>
  <c r="N35" i="21"/>
  <c r="C82" i="62"/>
  <c r="J78" i="62"/>
  <c r="J82" i="62" s="1"/>
  <c r="F78" i="62"/>
  <c r="K78" i="62" s="1"/>
  <c r="K82" i="62" s="1"/>
  <c r="F63" i="21"/>
  <c r="K63" i="21" s="1"/>
  <c r="J63" i="21"/>
  <c r="O63" i="21"/>
  <c r="J22" i="21"/>
  <c r="O22" i="21"/>
  <c r="F22" i="21"/>
  <c r="K22" i="21" s="1"/>
  <c r="N57" i="21"/>
  <c r="B71" i="21"/>
  <c r="N71" i="21" s="1"/>
  <c r="J9" i="21"/>
  <c r="C37" i="21"/>
  <c r="F9" i="21"/>
  <c r="K9" i="21" s="1"/>
  <c r="B32" i="73"/>
  <c r="I87" i="54"/>
  <c r="J53" i="23"/>
  <c r="K103" i="23"/>
  <c r="D59" i="23"/>
  <c r="F53" i="23"/>
  <c r="N56" i="21"/>
  <c r="B60" i="21"/>
  <c r="N60" i="21" s="1"/>
  <c r="B70" i="21"/>
  <c r="N11" i="21"/>
  <c r="O51" i="21"/>
  <c r="F51" i="21"/>
  <c r="K51" i="21" s="1"/>
  <c r="J51" i="21"/>
  <c r="C73" i="21"/>
  <c r="I8" i="22"/>
  <c r="E8" i="22"/>
  <c r="B25" i="70"/>
  <c r="B23" i="69"/>
  <c r="B29" i="69"/>
  <c r="O23" i="21"/>
  <c r="J23" i="21"/>
  <c r="F23" i="21"/>
  <c r="K23" i="21" s="1"/>
  <c r="C71" i="62"/>
  <c r="J49" i="62"/>
  <c r="F49" i="62"/>
  <c r="K49" i="62" s="1"/>
  <c r="I12" i="49"/>
  <c r="J12" i="49" s="1"/>
  <c r="E12" i="49"/>
  <c r="B7" i="37"/>
  <c r="F60" i="23"/>
  <c r="J60" i="23"/>
  <c r="K60" i="23" s="1"/>
  <c r="J24" i="82"/>
  <c r="F44" i="67"/>
  <c r="L15" i="48"/>
  <c r="C38" i="62"/>
  <c r="F38" i="62" s="1"/>
  <c r="K38" i="62" s="1"/>
  <c r="J10" i="62"/>
  <c r="J38" i="62" s="1"/>
  <c r="F10" i="62"/>
  <c r="K10" i="62" s="1"/>
  <c r="B30" i="73"/>
  <c r="B13" i="37"/>
  <c r="B14" i="37" s="1"/>
  <c r="K57" i="23"/>
  <c r="O8" i="21"/>
  <c r="I82" i="54"/>
  <c r="D9" i="64"/>
  <c r="I7" i="22"/>
  <c r="E7" i="22"/>
  <c r="Q50" i="21"/>
  <c r="J72" i="62"/>
  <c r="F72" i="62"/>
  <c r="K72" i="62" s="1"/>
  <c r="J51" i="63"/>
  <c r="F51" i="63"/>
  <c r="K51" i="63" s="1"/>
  <c r="J49" i="63"/>
  <c r="F49" i="63"/>
  <c r="K49" i="63" s="1"/>
  <c r="F11" i="74"/>
  <c r="L31" i="48"/>
  <c r="F41" i="64"/>
  <c r="D41" i="64" s="1"/>
  <c r="J48" i="62"/>
  <c r="C52" i="62"/>
  <c r="C70" i="62"/>
  <c r="F48" i="62"/>
  <c r="K48" i="62" s="1"/>
  <c r="K52" i="62" s="1"/>
  <c r="J78" i="21"/>
  <c r="O78" i="21"/>
  <c r="F78" i="21"/>
  <c r="K78" i="21" s="1"/>
  <c r="K82" i="21" s="1"/>
  <c r="C82" i="21"/>
  <c r="J17" i="21"/>
  <c r="J38" i="21" s="1"/>
  <c r="F17" i="21"/>
  <c r="K17" i="21" s="1"/>
  <c r="O17" i="21"/>
  <c r="P93" i="21"/>
  <c r="F15" i="21"/>
  <c r="K15" i="21" s="1"/>
  <c r="O15" i="21"/>
  <c r="J15" i="21"/>
  <c r="B38" i="78"/>
  <c r="F38" i="78" s="1"/>
  <c r="B30" i="78"/>
  <c r="F30" i="78" s="1"/>
  <c r="E38" i="75"/>
  <c r="E54" i="75" s="1"/>
  <c r="F48" i="21"/>
  <c r="K48" i="21" s="1"/>
  <c r="J48" i="21"/>
  <c r="C52" i="21"/>
  <c r="O52" i="21" s="1"/>
  <c r="O48" i="21"/>
  <c r="J52" i="62" l="1"/>
  <c r="K52" i="21"/>
  <c r="C24" i="54"/>
  <c r="H24" i="54" s="1"/>
  <c r="Q78" i="21"/>
  <c r="J82" i="21"/>
  <c r="J7" i="22"/>
  <c r="F22" i="67"/>
  <c r="D22" i="67" s="1"/>
  <c r="F14" i="37"/>
  <c r="J14" i="37" s="1"/>
  <c r="K14" i="37" s="1"/>
  <c r="B15" i="37"/>
  <c r="J7" i="62"/>
  <c r="C35" i="62"/>
  <c r="C11" i="62"/>
  <c r="F11" i="62" s="1"/>
  <c r="F7" i="62"/>
  <c r="K7" i="62" s="1"/>
  <c r="B24" i="37"/>
  <c r="J9" i="62"/>
  <c r="J37" i="62" s="1"/>
  <c r="C37" i="62"/>
  <c r="F37" i="62" s="1"/>
  <c r="K37" i="62" s="1"/>
  <c r="F9" i="62"/>
  <c r="K9" i="62" s="1"/>
  <c r="B27" i="70"/>
  <c r="O73" i="21"/>
  <c r="F73" i="21"/>
  <c r="K73" i="21" s="1"/>
  <c r="J73" i="21"/>
  <c r="F59" i="23"/>
  <c r="D61" i="23"/>
  <c r="F61" i="23" s="1"/>
  <c r="J59" i="23"/>
  <c r="F37" i="21"/>
  <c r="K37" i="21" s="1"/>
  <c r="Q49" i="21"/>
  <c r="J52" i="63"/>
  <c r="J58" i="63"/>
  <c r="F58" i="63"/>
  <c r="K58" i="63" s="1"/>
  <c r="C72" i="63"/>
  <c r="J37" i="82"/>
  <c r="I29" i="54"/>
  <c r="H30" i="54"/>
  <c r="I10" i="22"/>
  <c r="E10" i="22"/>
  <c r="D91" i="62"/>
  <c r="D91" i="63"/>
  <c r="B8" i="37"/>
  <c r="B25" i="37"/>
  <c r="C25" i="62"/>
  <c r="F25" i="62" s="1"/>
  <c r="J21" i="62"/>
  <c r="J25" i="62" s="1"/>
  <c r="F21" i="62"/>
  <c r="K21" i="62" s="1"/>
  <c r="K25" i="62" s="1"/>
  <c r="J71" i="62"/>
  <c r="F71" i="62"/>
  <c r="K71" i="62" s="1"/>
  <c r="F22" i="64"/>
  <c r="J8" i="22"/>
  <c r="Q51" i="21"/>
  <c r="M103" i="23"/>
  <c r="K104" i="23"/>
  <c r="M104" i="23" s="1"/>
  <c r="J37" i="21"/>
  <c r="G15" i="51"/>
  <c r="K15" i="51"/>
  <c r="K13" i="51"/>
  <c r="G13" i="51"/>
  <c r="O38" i="21"/>
  <c r="F38" i="21"/>
  <c r="K38" i="21" s="1"/>
  <c r="D48" i="67"/>
  <c r="F48" i="67" s="1"/>
  <c r="D58" i="67"/>
  <c r="F58" i="67" s="1"/>
  <c r="C18" i="21"/>
  <c r="F14" i="21"/>
  <c r="K14" i="21" s="1"/>
  <c r="K18" i="21" s="1"/>
  <c r="J14" i="21"/>
  <c r="J18" i="21" s="1"/>
  <c r="H34" i="54"/>
  <c r="C35" i="54"/>
  <c r="D35" i="54" s="1"/>
  <c r="F36" i="21"/>
  <c r="K36" i="21" s="1"/>
  <c r="D31" i="64"/>
  <c r="D12" i="59"/>
  <c r="D90" i="63"/>
  <c r="D90" i="62"/>
  <c r="D44" i="67"/>
  <c r="B74" i="21"/>
  <c r="N70" i="21"/>
  <c r="K53" i="23"/>
  <c r="E12" i="59"/>
  <c r="L12" i="59" s="1"/>
  <c r="D39" i="74"/>
  <c r="F28" i="74"/>
  <c r="J58" i="21"/>
  <c r="O58" i="21"/>
  <c r="F58" i="21"/>
  <c r="K58" i="21" s="1"/>
  <c r="C72" i="21"/>
  <c r="D9" i="67"/>
  <c r="F9" i="67" s="1"/>
  <c r="D37" i="67"/>
  <c r="F37" i="67" s="1"/>
  <c r="F21" i="21"/>
  <c r="K21" i="21" s="1"/>
  <c r="K25" i="21" s="1"/>
  <c r="J21" i="21"/>
  <c r="J25" i="21" s="1"/>
  <c r="O21" i="21"/>
  <c r="C25" i="21"/>
  <c r="K30" i="51"/>
  <c r="G30" i="51"/>
  <c r="F82" i="62"/>
  <c r="J36" i="21"/>
  <c r="B74" i="63"/>
  <c r="C104" i="54"/>
  <c r="D44" i="23"/>
  <c r="J73" i="63"/>
  <c r="F73" i="63"/>
  <c r="K73" i="63" s="1"/>
  <c r="E11" i="22"/>
  <c r="I11" i="22"/>
  <c r="H51" i="64" s="1"/>
  <c r="J65" i="21"/>
  <c r="J67" i="21" s="1"/>
  <c r="F65" i="21"/>
  <c r="K65" i="21" s="1"/>
  <c r="K67" i="21" s="1"/>
  <c r="O65" i="21"/>
  <c r="F14" i="71"/>
  <c r="J6" i="22"/>
  <c r="H33" i="71"/>
  <c r="C18" i="62"/>
  <c r="F18" i="62" s="1"/>
  <c r="J14" i="62"/>
  <c r="J18" i="62" s="1"/>
  <c r="F14" i="62"/>
  <c r="K14" i="62" s="1"/>
  <c r="K18" i="62" s="1"/>
  <c r="J52" i="21"/>
  <c r="Q48" i="21"/>
  <c r="F82" i="21"/>
  <c r="O82" i="21"/>
  <c r="N39" i="21"/>
  <c r="K23" i="47"/>
  <c r="D6" i="65"/>
  <c r="J6" i="65" s="1"/>
  <c r="J23" i="65"/>
  <c r="K23" i="65" s="1"/>
  <c r="K52" i="63"/>
  <c r="Q66" i="21"/>
  <c r="J63" i="63"/>
  <c r="Q63" i="21" s="1"/>
  <c r="C67" i="63"/>
  <c r="O67" i="21" s="1"/>
  <c r="F63" i="63"/>
  <c r="K63" i="63" s="1"/>
  <c r="B14" i="78"/>
  <c r="F5" i="25"/>
  <c r="J5" i="25" s="1"/>
  <c r="B7" i="78"/>
  <c r="G31" i="75"/>
  <c r="K31" i="75"/>
  <c r="J7" i="21"/>
  <c r="O7" i="21"/>
  <c r="F7" i="21"/>
  <c r="K7" i="21" s="1"/>
  <c r="K11" i="21" s="1"/>
  <c r="C35" i="21"/>
  <c r="C11" i="21"/>
  <c r="H21" i="82"/>
  <c r="H21" i="84"/>
  <c r="I27" i="47"/>
  <c r="H18" i="69"/>
  <c r="J18" i="69" s="1"/>
  <c r="H5" i="69"/>
  <c r="H17" i="69"/>
  <c r="H11" i="69"/>
  <c r="O9" i="21"/>
  <c r="J65" i="63"/>
  <c r="F65" i="63"/>
  <c r="K65" i="63" s="1"/>
  <c r="G31" i="51"/>
  <c r="K31" i="51"/>
  <c r="J70" i="62"/>
  <c r="C74" i="62"/>
  <c r="F70" i="62"/>
  <c r="K70" i="62" s="1"/>
  <c r="K74" i="62" s="1"/>
  <c r="C36" i="62"/>
  <c r="F36" i="62" s="1"/>
  <c r="K36" i="62" s="1"/>
  <c r="J8" i="62"/>
  <c r="J36" i="62" s="1"/>
  <c r="F8" i="62"/>
  <c r="K8" i="62" s="1"/>
  <c r="J24" i="84"/>
  <c r="L24" i="82"/>
  <c r="K30" i="75"/>
  <c r="G30" i="75"/>
  <c r="B30" i="70"/>
  <c r="H23" i="69"/>
  <c r="B27" i="69"/>
  <c r="D35" i="64"/>
  <c r="D45" i="64"/>
  <c r="K15" i="75"/>
  <c r="G15" i="75"/>
  <c r="B39" i="74"/>
  <c r="F12" i="74"/>
  <c r="C25" i="54" l="1"/>
  <c r="D25" i="54" s="1"/>
  <c r="Q58" i="21"/>
  <c r="Q65" i="21"/>
  <c r="O37" i="21"/>
  <c r="J74" i="62"/>
  <c r="K12" i="59"/>
  <c r="M12" i="59" s="1"/>
  <c r="N12" i="59" s="1"/>
  <c r="F12" i="59"/>
  <c r="G12" i="59" s="1"/>
  <c r="L31" i="75"/>
  <c r="Q52" i="21"/>
  <c r="E9" i="47"/>
  <c r="J33" i="71"/>
  <c r="D14" i="71"/>
  <c r="F47" i="67"/>
  <c r="L15" i="51"/>
  <c r="C39" i="62"/>
  <c r="F35" i="62"/>
  <c r="K35" i="62" s="1"/>
  <c r="K39" i="62" s="1"/>
  <c r="K37" i="51"/>
  <c r="F44" i="64" s="1"/>
  <c r="D44" i="64" s="1"/>
  <c r="G37" i="51"/>
  <c r="F40" i="64"/>
  <c r="D40" i="64" s="1"/>
  <c r="J11" i="22"/>
  <c r="I24" i="54"/>
  <c r="H25" i="54"/>
  <c r="F18" i="21"/>
  <c r="D22" i="64"/>
  <c r="J61" i="23"/>
  <c r="K61" i="23" s="1"/>
  <c r="K59" i="23"/>
  <c r="J11" i="62"/>
  <c r="J35" i="62"/>
  <c r="J39" i="62" s="1"/>
  <c r="F38" i="75"/>
  <c r="G38" i="75" s="1"/>
  <c r="G37" i="75"/>
  <c r="K37" i="75"/>
  <c r="K16" i="51"/>
  <c r="D13" i="59"/>
  <c r="G16" i="51"/>
  <c r="F7" i="78"/>
  <c r="J57" i="21"/>
  <c r="F57" i="21"/>
  <c r="K57" i="21" s="1"/>
  <c r="O57" i="21"/>
  <c r="C71" i="21"/>
  <c r="J14" i="63"/>
  <c r="C18" i="63"/>
  <c r="F18" i="63" s="1"/>
  <c r="F14" i="63"/>
  <c r="K14" i="63" s="1"/>
  <c r="K18" i="63" s="1"/>
  <c r="C35" i="63"/>
  <c r="O35" i="21" s="1"/>
  <c r="D47" i="23"/>
  <c r="F44" i="23"/>
  <c r="J44" i="23"/>
  <c r="N74" i="21"/>
  <c r="F7" i="64"/>
  <c r="L13" i="51"/>
  <c r="Q82" i="21"/>
  <c r="F11" i="21"/>
  <c r="O11" i="21"/>
  <c r="F104" i="54"/>
  <c r="C19" i="54"/>
  <c r="D19" i="54" s="1"/>
  <c r="D18" i="54"/>
  <c r="H18" i="54"/>
  <c r="F50" i="51"/>
  <c r="I30" i="54"/>
  <c r="J72" i="63"/>
  <c r="F72" i="63"/>
  <c r="K72" i="63" s="1"/>
  <c r="B36" i="70"/>
  <c r="L21" i="84"/>
  <c r="C39" i="21"/>
  <c r="F35" i="21"/>
  <c r="K35" i="21" s="1"/>
  <c r="K39" i="21" s="1"/>
  <c r="F14" i="78"/>
  <c r="F8" i="37"/>
  <c r="B9" i="37"/>
  <c r="B26" i="37"/>
  <c r="J56" i="63"/>
  <c r="C60" i="63"/>
  <c r="F56" i="63"/>
  <c r="K56" i="63" s="1"/>
  <c r="C70" i="63"/>
  <c r="F45" i="64"/>
  <c r="L21" i="82"/>
  <c r="K67" i="63"/>
  <c r="L30" i="51"/>
  <c r="K36" i="51"/>
  <c r="F57" i="67" s="1"/>
  <c r="D57" i="67" s="1"/>
  <c r="G36" i="51"/>
  <c r="O36" i="21"/>
  <c r="I34" i="54"/>
  <c r="H35" i="54"/>
  <c r="Q73" i="21"/>
  <c r="F35" i="64"/>
  <c r="B34" i="70"/>
  <c r="L30" i="75"/>
  <c r="L24" i="84"/>
  <c r="J37" i="84"/>
  <c r="L31" i="51"/>
  <c r="I64" i="47"/>
  <c r="K33" i="71"/>
  <c r="F50" i="75"/>
  <c r="E13" i="59"/>
  <c r="L13" i="59" s="1"/>
  <c r="E51" i="47" s="1"/>
  <c r="K16" i="75"/>
  <c r="L16" i="75" s="1"/>
  <c r="G16" i="75"/>
  <c r="J57" i="63"/>
  <c r="F57" i="63"/>
  <c r="K57" i="63" s="1"/>
  <c r="C71" i="63"/>
  <c r="O25" i="21"/>
  <c r="F25" i="21"/>
  <c r="J72" i="21"/>
  <c r="F72" i="21"/>
  <c r="K72" i="21" s="1"/>
  <c r="O72" i="21"/>
  <c r="K36" i="75"/>
  <c r="G36" i="75"/>
  <c r="O14" i="21"/>
  <c r="H22" i="66"/>
  <c r="J56" i="21"/>
  <c r="C60" i="21"/>
  <c r="O60" i="21" s="1"/>
  <c r="F56" i="21"/>
  <c r="K56" i="21" s="1"/>
  <c r="O56" i="21"/>
  <c r="C70" i="21"/>
  <c r="F53" i="67"/>
  <c r="D53" i="67" s="1"/>
  <c r="J10" i="22"/>
  <c r="K11" i="62"/>
  <c r="L15" i="75"/>
  <c r="J11" i="21"/>
  <c r="J35" i="21"/>
  <c r="J39" i="21" s="1"/>
  <c r="J67" i="63"/>
  <c r="F18" i="37"/>
  <c r="P90" i="21"/>
  <c r="P91" i="21"/>
  <c r="K60" i="21" l="1"/>
  <c r="J51" i="64"/>
  <c r="J22" i="66" s="1"/>
  <c r="K22" i="66" s="1"/>
  <c r="K9" i="47"/>
  <c r="K35" i="47" s="1"/>
  <c r="L36" i="51"/>
  <c r="F26" i="37"/>
  <c r="D26" i="37" s="1"/>
  <c r="J8" i="37"/>
  <c r="F71" i="21"/>
  <c r="K71" i="21" s="1"/>
  <c r="J71" i="21"/>
  <c r="O71" i="21"/>
  <c r="L37" i="51"/>
  <c r="O70" i="21"/>
  <c r="C74" i="21"/>
  <c r="J70" i="21"/>
  <c r="F70" i="21"/>
  <c r="K70" i="21" s="1"/>
  <c r="D92" i="54"/>
  <c r="J60" i="63"/>
  <c r="D7" i="64"/>
  <c r="F10" i="64"/>
  <c r="C93" i="21"/>
  <c r="J18" i="37"/>
  <c r="H55" i="54"/>
  <c r="D55" i="54"/>
  <c r="C56" i="54"/>
  <c r="D56" i="54" s="1"/>
  <c r="C39" i="63"/>
  <c r="F35" i="63"/>
  <c r="K35" i="63" s="1"/>
  <c r="K39" i="63" s="1"/>
  <c r="K38" i="75"/>
  <c r="L38" i="75" s="1"/>
  <c r="L37" i="75"/>
  <c r="D47" i="67"/>
  <c r="F49" i="67"/>
  <c r="G51" i="47"/>
  <c r="I35" i="54"/>
  <c r="D44" i="54"/>
  <c r="H44" i="54"/>
  <c r="C45" i="54"/>
  <c r="D45" i="54" s="1"/>
  <c r="C94" i="54"/>
  <c r="F94" i="54" s="1"/>
  <c r="K44" i="23"/>
  <c r="J47" i="23"/>
  <c r="Q57" i="21"/>
  <c r="I25" i="54"/>
  <c r="G50" i="75"/>
  <c r="K50" i="75"/>
  <c r="L50" i="75" s="1"/>
  <c r="F6" i="37"/>
  <c r="F12" i="37"/>
  <c r="J60" i="21"/>
  <c r="Q56" i="21"/>
  <c r="L36" i="75"/>
  <c r="F47" i="23"/>
  <c r="J18" i="63"/>
  <c r="J35" i="63"/>
  <c r="J39" i="63" s="1"/>
  <c r="J71" i="63"/>
  <c r="F71" i="63"/>
  <c r="K71" i="63" s="1"/>
  <c r="C74" i="63"/>
  <c r="J70" i="63"/>
  <c r="J74" i="63" s="1"/>
  <c r="F70" i="63"/>
  <c r="K70" i="63" s="1"/>
  <c r="K50" i="51"/>
  <c r="L50" i="51" s="1"/>
  <c r="G50" i="51"/>
  <c r="K13" i="59"/>
  <c r="M13" i="59" s="1"/>
  <c r="N13" i="59" s="1"/>
  <c r="F13" i="59"/>
  <c r="G13" i="59" s="1"/>
  <c r="O18" i="21"/>
  <c r="C50" i="54"/>
  <c r="D50" i="54" s="1"/>
  <c r="H49" i="54"/>
  <c r="D49" i="54"/>
  <c r="Q67" i="21"/>
  <c r="K60" i="63"/>
  <c r="B27" i="37"/>
  <c r="Q72" i="21"/>
  <c r="I18" i="54"/>
  <c r="H19" i="54"/>
  <c r="F34" i="64"/>
  <c r="L16" i="51"/>
  <c r="D60" i="54"/>
  <c r="H60" i="54"/>
  <c r="C61" i="54"/>
  <c r="D61" i="54" s="1"/>
  <c r="K51" i="64" l="1"/>
  <c r="Q71" i="21"/>
  <c r="O39" i="21"/>
  <c r="K74" i="21"/>
  <c r="K74" i="63"/>
  <c r="I44" i="54"/>
  <c r="H45" i="54"/>
  <c r="I45" i="54" s="1"/>
  <c r="F10" i="70"/>
  <c r="D10" i="70" s="1"/>
  <c r="D49" i="67"/>
  <c r="O74" i="21"/>
  <c r="I60" i="54"/>
  <c r="H61" i="54"/>
  <c r="I61" i="54" s="1"/>
  <c r="H25" i="82"/>
  <c r="H25" i="84"/>
  <c r="H13" i="54"/>
  <c r="D13" i="54"/>
  <c r="C14" i="54"/>
  <c r="D14" i="54" s="1"/>
  <c r="K47" i="23"/>
  <c r="K8" i="37"/>
  <c r="J26" i="37"/>
  <c r="K26" i="37" s="1"/>
  <c r="I55" i="54"/>
  <c r="H56" i="54"/>
  <c r="I56" i="54" s="1"/>
  <c r="F6" i="66"/>
  <c r="D10" i="64"/>
  <c r="I49" i="54"/>
  <c r="H50" i="54"/>
  <c r="I50" i="54" s="1"/>
  <c r="H9" i="82"/>
  <c r="H9" i="84"/>
  <c r="K18" i="37"/>
  <c r="D34" i="64"/>
  <c r="F36" i="64"/>
  <c r="I19" i="54"/>
  <c r="H52" i="64"/>
  <c r="J12" i="37"/>
  <c r="C9" i="54"/>
  <c r="D9" i="54" s="1"/>
  <c r="D8" i="54"/>
  <c r="C91" i="54"/>
  <c r="H8" i="54"/>
  <c r="D40" i="23"/>
  <c r="Q60" i="21"/>
  <c r="C90" i="21"/>
  <c r="F24" i="37"/>
  <c r="D24" i="37" s="1"/>
  <c r="J6" i="37"/>
  <c r="J93" i="21"/>
  <c r="C93" i="63"/>
  <c r="F93" i="21"/>
  <c r="K93" i="21" s="1"/>
  <c r="C93" i="62"/>
  <c r="Q70" i="21"/>
  <c r="J74" i="21"/>
  <c r="Q74" i="21" l="1"/>
  <c r="J93" i="62"/>
  <c r="F93" i="62"/>
  <c r="K93" i="62" s="1"/>
  <c r="C90" i="62"/>
  <c r="J90" i="21"/>
  <c r="F90" i="21"/>
  <c r="K90" i="21" s="1"/>
  <c r="C90" i="63"/>
  <c r="D6" i="66"/>
  <c r="J40" i="23"/>
  <c r="D46" i="23"/>
  <c r="F40" i="23"/>
  <c r="K96" i="23"/>
  <c r="J93" i="63"/>
  <c r="Q93" i="21" s="1"/>
  <c r="F93" i="63"/>
  <c r="K93" i="63" s="1"/>
  <c r="I8" i="54"/>
  <c r="H9" i="54"/>
  <c r="D27" i="64"/>
  <c r="D17" i="64"/>
  <c r="F91" i="54"/>
  <c r="L96" i="23"/>
  <c r="L97" i="23" s="1"/>
  <c r="C92" i="54"/>
  <c r="F92" i="54" s="1"/>
  <c r="I13" i="54"/>
  <c r="H14" i="54"/>
  <c r="K12" i="37"/>
  <c r="D36" i="64"/>
  <c r="F9" i="66"/>
  <c r="D9" i="66" s="1"/>
  <c r="J24" i="37"/>
  <c r="K24" i="37" s="1"/>
  <c r="K6" i="37"/>
  <c r="L25" i="84"/>
  <c r="B25" i="84"/>
  <c r="F25" i="84" s="1"/>
  <c r="L25" i="82"/>
  <c r="B25" i="82"/>
  <c r="O93" i="21"/>
  <c r="O90" i="21" l="1"/>
  <c r="C24" i="42"/>
  <c r="I14" i="54"/>
  <c r="H73" i="67"/>
  <c r="F27" i="64"/>
  <c r="F46" i="23"/>
  <c r="D48" i="23"/>
  <c r="F48" i="23" s="1"/>
  <c r="D27" i="67"/>
  <c r="D17" i="67"/>
  <c r="K40" i="23"/>
  <c r="J46" i="23"/>
  <c r="J90" i="63"/>
  <c r="F90" i="63"/>
  <c r="K90" i="63" s="1"/>
  <c r="I9" i="54"/>
  <c r="H34" i="71"/>
  <c r="J90" i="62"/>
  <c r="F90" i="62"/>
  <c r="K90" i="62" s="1"/>
  <c r="M96" i="23"/>
  <c r="K97" i="23"/>
  <c r="M97" i="23" s="1"/>
  <c r="F17" i="64"/>
  <c r="D19" i="71" l="1"/>
  <c r="D9" i="71"/>
  <c r="K10" i="47"/>
  <c r="J52" i="64"/>
  <c r="F17" i="67"/>
  <c r="F27" i="67"/>
  <c r="Q90" i="21"/>
  <c r="K46" i="23"/>
  <c r="J48" i="23"/>
  <c r="K48" i="23" s="1"/>
  <c r="F19" i="71" l="1"/>
  <c r="K52" i="64"/>
  <c r="J73" i="67"/>
  <c r="H10" i="47"/>
  <c r="F9" i="71"/>
  <c r="E10" i="47" l="1"/>
  <c r="J34" i="71"/>
  <c r="K73" i="67"/>
  <c r="K34" i="71" l="1"/>
  <c r="B87" i="32" l="1"/>
  <c r="B76" i="32" l="1"/>
  <c r="B17" i="65" s="1"/>
  <c r="H17" i="65" s="1"/>
  <c r="F7" i="80"/>
  <c r="B5" i="55"/>
  <c r="L15" i="57"/>
  <c r="P21" i="84" s="1"/>
  <c r="P37" i="84" s="1"/>
  <c r="I15" i="57"/>
  <c r="B19" i="76" l="1"/>
  <c r="C16" i="76" s="1"/>
  <c r="B27" i="76"/>
  <c r="B26" i="76"/>
  <c r="H28" i="78"/>
  <c r="B22" i="23"/>
  <c r="B71" i="32"/>
  <c r="B19" i="69" s="1"/>
  <c r="H19" i="69" s="1"/>
  <c r="B82" i="32"/>
  <c r="B26" i="23"/>
  <c r="H36" i="78"/>
  <c r="P21" i="82"/>
  <c r="P37" i="82" s="1"/>
  <c r="M15" i="57"/>
  <c r="H7" i="80"/>
  <c r="B10" i="76"/>
  <c r="C7" i="76" s="1"/>
  <c r="B25" i="76"/>
  <c r="D25" i="82" l="1"/>
  <c r="F25" i="82" s="1"/>
  <c r="D24" i="82"/>
  <c r="D21" i="82"/>
  <c r="D37" i="82" s="1"/>
  <c r="D21" i="84"/>
  <c r="D17" i="82"/>
  <c r="D17" i="84"/>
  <c r="D86" i="32"/>
  <c r="H86" i="32"/>
  <c r="C87" i="32"/>
  <c r="D87" i="32" s="1"/>
  <c r="D4" i="25"/>
  <c r="B35" i="32"/>
  <c r="B29" i="23"/>
  <c r="B88" i="23"/>
  <c r="B91" i="23" s="1"/>
  <c r="B92" i="23" s="1"/>
  <c r="B28" i="23"/>
  <c r="B107" i="23"/>
  <c r="B84" i="23"/>
  <c r="B90" i="23" s="1"/>
  <c r="C8" i="76"/>
  <c r="C9" i="76"/>
  <c r="C19" i="76"/>
  <c r="B28" i="76"/>
  <c r="B15" i="77" s="1"/>
  <c r="C25" i="76"/>
  <c r="F28" i="78"/>
  <c r="F36" i="78"/>
  <c r="C26" i="76"/>
  <c r="C27" i="76"/>
  <c r="C18" i="76"/>
  <c r="C17" i="76"/>
  <c r="H75" i="32" l="1"/>
  <c r="C109" i="32"/>
  <c r="F109" i="32" s="1"/>
  <c r="D75" i="32"/>
  <c r="C76" i="32"/>
  <c r="D76" i="32" s="1"/>
  <c r="D6" i="25"/>
  <c r="J9" i="80" s="1"/>
  <c r="B19" i="32"/>
  <c r="B11" i="65" s="1"/>
  <c r="H11" i="65" s="1"/>
  <c r="I86" i="32"/>
  <c r="H87" i="32"/>
  <c r="I87" i="32" s="1"/>
  <c r="D24" i="84"/>
  <c r="F24" i="84" s="1"/>
  <c r="F24" i="82"/>
  <c r="H81" i="32"/>
  <c r="D81" i="32"/>
  <c r="C82" i="32"/>
  <c r="D82" i="32" s="1"/>
  <c r="D26" i="23"/>
  <c r="C10" i="76"/>
  <c r="C28" i="76"/>
  <c r="I51" i="47"/>
  <c r="L51" i="47" s="1"/>
  <c r="B25" i="77" s="1"/>
  <c r="B30" i="23"/>
  <c r="B108" i="23" s="1"/>
  <c r="J38" i="78"/>
  <c r="J30" i="78"/>
  <c r="F4" i="25"/>
  <c r="J4" i="25" s="1"/>
  <c r="B7" i="77" s="1"/>
  <c r="D37" i="84"/>
  <c r="H70" i="32" l="1"/>
  <c r="D22" i="23"/>
  <c r="C107" i="32"/>
  <c r="F107" i="32" s="1"/>
  <c r="D70" i="32"/>
  <c r="C71" i="32"/>
  <c r="D71" i="32" s="1"/>
  <c r="F26" i="23"/>
  <c r="D29" i="23"/>
  <c r="J26" i="23"/>
  <c r="D88" i="23"/>
  <c r="J11" i="80"/>
  <c r="J10" i="80"/>
  <c r="J39" i="78"/>
  <c r="J40" i="78" s="1"/>
  <c r="L38" i="78"/>
  <c r="I81" i="32"/>
  <c r="H82" i="32"/>
  <c r="I82" i="32" s="1"/>
  <c r="B45" i="32"/>
  <c r="J31" i="78"/>
  <c r="J32" i="78" s="1"/>
  <c r="L30" i="78"/>
  <c r="B25" i="32"/>
  <c r="B61" i="32"/>
  <c r="B56" i="32"/>
  <c r="H76" i="32"/>
  <c r="I75" i="32"/>
  <c r="B13" i="72" l="1"/>
  <c r="H13" i="72" s="1"/>
  <c r="K26" i="23"/>
  <c r="J88" i="23"/>
  <c r="B21" i="82"/>
  <c r="B21" i="84"/>
  <c r="F29" i="23"/>
  <c r="J29" i="23"/>
  <c r="I70" i="32"/>
  <c r="H71" i="32"/>
  <c r="B9" i="32"/>
  <c r="F88" i="23"/>
  <c r="D91" i="23"/>
  <c r="F91" i="23" s="1"/>
  <c r="F17" i="65"/>
  <c r="D17" i="65" s="1"/>
  <c r="J17" i="65" s="1"/>
  <c r="I76" i="32"/>
  <c r="D103" i="23"/>
  <c r="H103" i="23" s="1"/>
  <c r="J22" i="23"/>
  <c r="F22" i="23"/>
  <c r="D28" i="23"/>
  <c r="D84" i="23"/>
  <c r="F21" i="84" l="1"/>
  <c r="B37" i="84"/>
  <c r="B30" i="32"/>
  <c r="I29" i="32"/>
  <c r="B13" i="23"/>
  <c r="F21" i="82"/>
  <c r="B37" i="82"/>
  <c r="I71" i="32"/>
  <c r="F19" i="69"/>
  <c r="D19" i="69" s="1"/>
  <c r="J19" i="69" s="1"/>
  <c r="K88" i="23"/>
  <c r="J91" i="23"/>
  <c r="K91" i="23" s="1"/>
  <c r="B12" i="72"/>
  <c r="H12" i="72" s="1"/>
  <c r="F84" i="23"/>
  <c r="D90" i="23"/>
  <c r="C34" i="32"/>
  <c r="N21" i="84"/>
  <c r="N21" i="82"/>
  <c r="H51" i="47"/>
  <c r="K29" i="23"/>
  <c r="F28" i="23"/>
  <c r="D30" i="23"/>
  <c r="J28" i="23"/>
  <c r="K22" i="23"/>
  <c r="J84" i="23"/>
  <c r="I8" i="57"/>
  <c r="L8" i="57"/>
  <c r="D18" i="32" l="1"/>
  <c r="C19" i="32"/>
  <c r="D19" i="32" s="1"/>
  <c r="H18" i="32"/>
  <c r="K28" i="23"/>
  <c r="J30" i="23"/>
  <c r="K30" i="23" s="1"/>
  <c r="D92" i="23"/>
  <c r="F90" i="23"/>
  <c r="F30" i="23"/>
  <c r="D104" i="23"/>
  <c r="H104" i="23" s="1"/>
  <c r="B100" i="23"/>
  <c r="B16" i="23"/>
  <c r="I50" i="47" s="1"/>
  <c r="I53" i="47" s="1"/>
  <c r="B75" i="23"/>
  <c r="B78" i="23" s="1"/>
  <c r="P9" i="84"/>
  <c r="P36" i="84" s="1"/>
  <c r="P31" i="84"/>
  <c r="P34" i="84" s="1"/>
  <c r="P31" i="82"/>
  <c r="P34" i="82" s="1"/>
  <c r="P32" i="84"/>
  <c r="P32" i="82"/>
  <c r="J51" i="47"/>
  <c r="K51" i="47"/>
  <c r="M51" i="47" s="1"/>
  <c r="I30" i="32"/>
  <c r="D30" i="32"/>
  <c r="R21" i="82"/>
  <c r="H37" i="82"/>
  <c r="C35" i="32"/>
  <c r="D35" i="32" s="1"/>
  <c r="H34" i="32"/>
  <c r="P9" i="82"/>
  <c r="P36" i="82" s="1"/>
  <c r="K84" i="23"/>
  <c r="J90" i="23"/>
  <c r="R21" i="84"/>
  <c r="H37" i="84"/>
  <c r="K90" i="23" l="1"/>
  <c r="J92" i="23"/>
  <c r="K92" i="23" s="1"/>
  <c r="I34" i="32"/>
  <c r="H35" i="32"/>
  <c r="I35" i="32" s="1"/>
  <c r="I18" i="32"/>
  <c r="H19" i="32"/>
  <c r="B50" i="32"/>
  <c r="B13" i="69" s="1"/>
  <c r="H13" i="69" s="1"/>
  <c r="F92" i="23"/>
  <c r="F11" i="65" l="1"/>
  <c r="I19" i="32"/>
  <c r="H24" i="65"/>
  <c r="H23" i="66"/>
  <c r="C24" i="32"/>
  <c r="D11" i="65" l="1"/>
  <c r="J11" i="65" s="1"/>
  <c r="J24" i="65"/>
  <c r="K24" i="47"/>
  <c r="K36" i="47" s="1"/>
  <c r="B14" i="32"/>
  <c r="B9" i="23"/>
  <c r="C104" i="32"/>
  <c r="H24" i="32"/>
  <c r="C25" i="32"/>
  <c r="D25" i="32" s="1"/>
  <c r="D13" i="23"/>
  <c r="B12" i="69" l="1"/>
  <c r="H12" i="69" s="1"/>
  <c r="D16" i="23"/>
  <c r="F13" i="23"/>
  <c r="J13" i="23"/>
  <c r="D75" i="23"/>
  <c r="I9" i="57"/>
  <c r="I10" i="57" s="1"/>
  <c r="L9" i="57"/>
  <c r="L10" i="57" s="1"/>
  <c r="H10" i="57"/>
  <c r="I24" i="32"/>
  <c r="H25" i="32"/>
  <c r="I25" i="32" s="1"/>
  <c r="K24" i="65"/>
  <c r="J23" i="66"/>
  <c r="K23" i="66" s="1"/>
  <c r="B15" i="23"/>
  <c r="B17" i="23" s="1"/>
  <c r="B99" i="23"/>
  <c r="B71" i="23"/>
  <c r="B77" i="23" s="1"/>
  <c r="B79" i="23" s="1"/>
  <c r="F75" i="23" l="1"/>
  <c r="D78" i="23"/>
  <c r="J16" i="23"/>
  <c r="K13" i="23"/>
  <c r="B9" i="82"/>
  <c r="B36" i="82" s="1"/>
  <c r="B9" i="84"/>
  <c r="B36" i="84" s="1"/>
  <c r="J75" i="23"/>
  <c r="F16" i="23"/>
  <c r="H50" i="47" l="1"/>
  <c r="J50" i="47" s="1"/>
  <c r="K16" i="23"/>
  <c r="N9" i="82"/>
  <c r="N9" i="84"/>
  <c r="F78" i="23"/>
  <c r="K75" i="23"/>
  <c r="J78" i="23"/>
  <c r="R9" i="84" l="1"/>
  <c r="R15" i="84" s="1"/>
  <c r="N31" i="84" s="1"/>
  <c r="R31" i="84" s="1"/>
  <c r="H36" i="84"/>
  <c r="F104" i="32"/>
  <c r="R9" i="82"/>
  <c r="R15" i="82" s="1"/>
  <c r="N31" i="82" s="1"/>
  <c r="R31" i="82" s="1"/>
  <c r="H36" i="82"/>
  <c r="J65" i="47"/>
  <c r="K78" i="23"/>
  <c r="D44" i="32" l="1"/>
  <c r="C45" i="32"/>
  <c r="D45" i="32" s="1"/>
  <c r="H44" i="32"/>
  <c r="C94" i="32"/>
  <c r="F94" i="32" s="1"/>
  <c r="H60" i="32"/>
  <c r="C61" i="32"/>
  <c r="D61" i="32" s="1"/>
  <c r="D60" i="32"/>
  <c r="D55" i="32"/>
  <c r="H55" i="32"/>
  <c r="C56" i="32"/>
  <c r="D56" i="32" s="1"/>
  <c r="C50" i="32"/>
  <c r="D50" i="32" s="1"/>
  <c r="D49" i="32"/>
  <c r="H49" i="32"/>
  <c r="D92" i="32"/>
  <c r="I55" i="32" l="1"/>
  <c r="H56" i="32"/>
  <c r="I56" i="32" s="1"/>
  <c r="H13" i="32"/>
  <c r="D13" i="32"/>
  <c r="C14" i="32"/>
  <c r="D14" i="32" s="1"/>
  <c r="H45" i="32"/>
  <c r="I44" i="32"/>
  <c r="I49" i="32"/>
  <c r="H50" i="32"/>
  <c r="I60" i="32"/>
  <c r="H61" i="32"/>
  <c r="I61" i="32" s="1"/>
  <c r="H8" i="32"/>
  <c r="C91" i="32"/>
  <c r="D8" i="32"/>
  <c r="D9" i="23"/>
  <c r="C9" i="32"/>
  <c r="D9" i="32" s="1"/>
  <c r="H14" i="32" l="1"/>
  <c r="I13" i="32"/>
  <c r="F9" i="23"/>
  <c r="D96" i="23"/>
  <c r="D15" i="23"/>
  <c r="J9" i="23"/>
  <c r="D71" i="23"/>
  <c r="F13" i="69"/>
  <c r="D13" i="69" s="1"/>
  <c r="J13" i="69" s="1"/>
  <c r="I50" i="32"/>
  <c r="F96" i="23"/>
  <c r="F97" i="23" s="1"/>
  <c r="F91" i="32"/>
  <c r="C23" i="42" s="1"/>
  <c r="C92" i="32"/>
  <c r="F92" i="32" s="1"/>
  <c r="H9" i="32"/>
  <c r="I8" i="32"/>
  <c r="I45" i="32"/>
  <c r="F13" i="72"/>
  <c r="D13" i="72" s="1"/>
  <c r="J13" i="72" s="1"/>
  <c r="D77" i="23" l="1"/>
  <c r="F71" i="23"/>
  <c r="K9" i="23"/>
  <c r="J15" i="23"/>
  <c r="J71" i="23"/>
  <c r="I9" i="32"/>
  <c r="F12" i="72"/>
  <c r="H29" i="72"/>
  <c r="H39" i="73"/>
  <c r="F15" i="23"/>
  <c r="D17" i="23"/>
  <c r="F17" i="23" s="1"/>
  <c r="D97" i="23"/>
  <c r="H97" i="23" s="1"/>
  <c r="H96" i="23"/>
  <c r="F12" i="69"/>
  <c r="H34" i="69"/>
  <c r="I14" i="32"/>
  <c r="H43" i="70"/>
  <c r="K71" i="23" l="1"/>
  <c r="J77" i="23"/>
  <c r="K15" i="23"/>
  <c r="J17" i="23"/>
  <c r="K17" i="23" s="1"/>
  <c r="D12" i="72"/>
  <c r="J12" i="72" s="1"/>
  <c r="J29" i="72"/>
  <c r="E24" i="47"/>
  <c r="E36" i="47" s="1"/>
  <c r="O71" i="47" s="1"/>
  <c r="F77" i="23"/>
  <c r="D79" i="23"/>
  <c r="H24" i="47"/>
  <c r="H36" i="47" s="1"/>
  <c r="J34" i="69"/>
  <c r="D12" i="69"/>
  <c r="J12" i="69" s="1"/>
  <c r="B24" i="71"/>
  <c r="K34" i="69" l="1"/>
  <c r="J43" i="70"/>
  <c r="K43" i="70" s="1"/>
  <c r="F79" i="23"/>
  <c r="C22" i="42"/>
  <c r="K29" i="72"/>
  <c r="J39" i="73"/>
  <c r="K39" i="73" s="1"/>
  <c r="N71" i="47"/>
  <c r="K77" i="23"/>
  <c r="J79" i="23"/>
  <c r="K79" i="23" s="1"/>
  <c r="B12" i="73"/>
  <c r="C4" i="49" l="1"/>
  <c r="G4" i="50"/>
  <c r="H4" i="50"/>
  <c r="G21" i="50"/>
  <c r="H21" i="50"/>
  <c r="G19" i="50"/>
  <c r="H19" i="50"/>
  <c r="H10" i="50"/>
  <c r="G10" i="50"/>
  <c r="G6" i="50"/>
  <c r="H6" i="50"/>
  <c r="B23" i="64"/>
  <c r="H25" i="50"/>
  <c r="G25" i="50"/>
  <c r="B24" i="64" s="1"/>
  <c r="B15" i="71"/>
  <c r="C6" i="49"/>
  <c r="B13" i="64"/>
  <c r="C10" i="49"/>
  <c r="K25" i="75" l="1"/>
  <c r="B14" i="64"/>
  <c r="H23" i="50"/>
  <c r="G23" i="50"/>
  <c r="B18" i="64"/>
  <c r="C8" i="49"/>
  <c r="E10" i="75"/>
  <c r="B16" i="64"/>
  <c r="E10" i="51"/>
  <c r="D24" i="64"/>
  <c r="B5" i="71"/>
  <c r="B26" i="64"/>
  <c r="E25" i="75"/>
  <c r="G25" i="75" s="1"/>
  <c r="E25" i="51"/>
  <c r="B7" i="71"/>
  <c r="E4" i="51"/>
  <c r="B17" i="71"/>
  <c r="E19" i="51"/>
  <c r="E6" i="51"/>
  <c r="B15" i="64"/>
  <c r="B16" i="71"/>
  <c r="E21" i="51"/>
  <c r="B25" i="64"/>
  <c r="C6" i="59" l="1"/>
  <c r="B7" i="66"/>
  <c r="B48" i="64"/>
  <c r="H25" i="64" s="1"/>
  <c r="B10" i="71"/>
  <c r="L25" i="75"/>
  <c r="K25" i="48"/>
  <c r="L25" i="48" s="1"/>
  <c r="G25" i="48"/>
  <c r="K19" i="51"/>
  <c r="G19" i="51"/>
  <c r="C4" i="59"/>
  <c r="K6" i="48"/>
  <c r="G6" i="48"/>
  <c r="D6" i="49"/>
  <c r="K25" i="51"/>
  <c r="G25" i="51"/>
  <c r="K4" i="48"/>
  <c r="G4" i="48"/>
  <c r="D4" i="49"/>
  <c r="G21" i="48"/>
  <c r="K21" i="48"/>
  <c r="B52" i="64"/>
  <c r="G10" i="48"/>
  <c r="K10" i="48"/>
  <c r="L10" i="48" s="1"/>
  <c r="D10" i="49"/>
  <c r="B18" i="71"/>
  <c r="E23" i="51"/>
  <c r="E23" i="75"/>
  <c r="D16" i="71"/>
  <c r="G10" i="75"/>
  <c r="E10" i="59"/>
  <c r="L10" i="59" s="1"/>
  <c r="K10" i="75"/>
  <c r="L10" i="75" s="1"/>
  <c r="G8" i="50"/>
  <c r="B6" i="71" s="1"/>
  <c r="H8" i="50"/>
  <c r="K21" i="51"/>
  <c r="G21" i="51"/>
  <c r="D14" i="64"/>
  <c r="H14" i="64"/>
  <c r="B33" i="71"/>
  <c r="C10" i="59"/>
  <c r="B51" i="64"/>
  <c r="K19" i="48"/>
  <c r="G19" i="48"/>
  <c r="L19" i="48" l="1"/>
  <c r="I4" i="49"/>
  <c r="E4" i="49"/>
  <c r="G6" i="51"/>
  <c r="K6" i="51"/>
  <c r="D6" i="59"/>
  <c r="L21" i="48"/>
  <c r="F23" i="64"/>
  <c r="D23" i="64" s="1"/>
  <c r="E8" i="51"/>
  <c r="E8" i="75"/>
  <c r="B8" i="71"/>
  <c r="D10" i="59"/>
  <c r="G10" i="51"/>
  <c r="K10" i="51"/>
  <c r="L4" i="48"/>
  <c r="F26" i="64"/>
  <c r="D26" i="64" s="1"/>
  <c r="L25" i="51"/>
  <c r="D6" i="71"/>
  <c r="E6" i="49"/>
  <c r="I6" i="49"/>
  <c r="J14" i="64"/>
  <c r="F25" i="64"/>
  <c r="D25" i="64" s="1"/>
  <c r="J25" i="64" s="1"/>
  <c r="L21" i="51"/>
  <c r="E10" i="49"/>
  <c r="I10" i="49"/>
  <c r="J10" i="49" s="1"/>
  <c r="L6" i="48"/>
  <c r="F13" i="64"/>
  <c r="K23" i="48"/>
  <c r="L23" i="48" s="1"/>
  <c r="G23" i="48"/>
  <c r="K8" i="48"/>
  <c r="L8" i="48" s="1"/>
  <c r="G8" i="48"/>
  <c r="D8" i="49"/>
  <c r="B32" i="71"/>
  <c r="G4" i="51"/>
  <c r="D4" i="59"/>
  <c r="K4" i="51"/>
  <c r="H35" i="64"/>
  <c r="J35" i="64" s="1"/>
  <c r="H8" i="64"/>
  <c r="J8" i="64" s="1"/>
  <c r="H45" i="64"/>
  <c r="J45" i="64" s="1"/>
  <c r="H9" i="64"/>
  <c r="J9" i="64" s="1"/>
  <c r="H40" i="64"/>
  <c r="J40" i="64" s="1"/>
  <c r="H31" i="64"/>
  <c r="J31" i="64" s="1"/>
  <c r="H5" i="64"/>
  <c r="J5" i="64" s="1"/>
  <c r="H42" i="64"/>
  <c r="J42" i="64" s="1"/>
  <c r="H32" i="64"/>
  <c r="J32" i="64" s="1"/>
  <c r="H6" i="64"/>
  <c r="J6" i="64" s="1"/>
  <c r="L15" i="47"/>
  <c r="H21" i="64"/>
  <c r="H41" i="64"/>
  <c r="J41" i="64" s="1"/>
  <c r="H44" i="64"/>
  <c r="J44" i="64" s="1"/>
  <c r="H17" i="64"/>
  <c r="J17" i="64" s="1"/>
  <c r="H43" i="64"/>
  <c r="J43" i="64" s="1"/>
  <c r="H22" i="64"/>
  <c r="J22" i="64" s="1"/>
  <c r="H33" i="64"/>
  <c r="J33" i="64" s="1"/>
  <c r="H7" i="64"/>
  <c r="J7" i="64" s="1"/>
  <c r="B55" i="64"/>
  <c r="H39" i="64"/>
  <c r="H34" i="64"/>
  <c r="J34" i="64" s="1"/>
  <c r="H27" i="64"/>
  <c r="J27" i="64" s="1"/>
  <c r="H13" i="64"/>
  <c r="H24" i="64"/>
  <c r="J24" i="64" s="1"/>
  <c r="H23" i="64"/>
  <c r="J23" i="64" s="1"/>
  <c r="B11" i="66"/>
  <c r="F17" i="71"/>
  <c r="D17" i="71" s="1"/>
  <c r="L19" i="51"/>
  <c r="B29" i="71"/>
  <c r="B6" i="73"/>
  <c r="B23" i="71"/>
  <c r="H26" i="64"/>
  <c r="H16" i="64"/>
  <c r="H15" i="64"/>
  <c r="L4" i="51" l="1"/>
  <c r="F7" i="71"/>
  <c r="J26" i="64"/>
  <c r="F15" i="71"/>
  <c r="D15" i="71" s="1"/>
  <c r="K4" i="59"/>
  <c r="F4" i="59"/>
  <c r="G4" i="59" s="1"/>
  <c r="B19" i="66"/>
  <c r="H11" i="66" s="1"/>
  <c r="F5" i="71"/>
  <c r="B8" i="73"/>
  <c r="H17" i="71"/>
  <c r="J17" i="71" s="1"/>
  <c r="H13" i="71"/>
  <c r="H14" i="71"/>
  <c r="J14" i="71" s="1"/>
  <c r="F15" i="47"/>
  <c r="H9" i="71"/>
  <c r="J9" i="71" s="1"/>
  <c r="B34" i="71"/>
  <c r="H19" i="71"/>
  <c r="J19" i="71" s="1"/>
  <c r="H24" i="71"/>
  <c r="H15" i="71"/>
  <c r="H16" i="71"/>
  <c r="J16" i="71" s="1"/>
  <c r="H5" i="71"/>
  <c r="H7" i="71"/>
  <c r="D13" i="64"/>
  <c r="J13" i="64" s="1"/>
  <c r="K11" i="47"/>
  <c r="K37" i="47" s="1"/>
  <c r="J53" i="64"/>
  <c r="J24" i="66" s="1"/>
  <c r="H18" i="71"/>
  <c r="J6" i="71"/>
  <c r="H23" i="71"/>
  <c r="B27" i="71"/>
  <c r="B11" i="73"/>
  <c r="B6" i="74"/>
  <c r="J36" i="64"/>
  <c r="H6" i="71"/>
  <c r="L10" i="51"/>
  <c r="F16" i="64"/>
  <c r="D16" i="64" s="1"/>
  <c r="J16" i="64" s="1"/>
  <c r="H8" i="71"/>
  <c r="F6" i="59"/>
  <c r="G6" i="59" s="1"/>
  <c r="K6" i="59"/>
  <c r="J4" i="49"/>
  <c r="H40" i="73"/>
  <c r="I8" i="49"/>
  <c r="J8" i="49" s="1"/>
  <c r="E8" i="49"/>
  <c r="K10" i="59"/>
  <c r="M10" i="59" s="1"/>
  <c r="N10" i="59" s="1"/>
  <c r="F10" i="59"/>
  <c r="G10" i="59" s="1"/>
  <c r="C8" i="59"/>
  <c r="F15" i="64"/>
  <c r="F18" i="64" s="1"/>
  <c r="L6" i="51"/>
  <c r="J10" i="64"/>
  <c r="L41" i="47"/>
  <c r="L63" i="47"/>
  <c r="H24" i="66"/>
  <c r="K24" i="66" s="1"/>
  <c r="J6" i="49"/>
  <c r="H53" i="64"/>
  <c r="K53" i="64" s="1"/>
  <c r="F7" i="66" l="1"/>
  <c r="D7" i="66" s="1"/>
  <c r="D18" i="64"/>
  <c r="K23" i="75"/>
  <c r="G23" i="75"/>
  <c r="H35" i="71"/>
  <c r="H14" i="66"/>
  <c r="H9" i="66"/>
  <c r="J9" i="66" s="1"/>
  <c r="H15" i="66"/>
  <c r="H16" i="66"/>
  <c r="H6" i="66"/>
  <c r="J6" i="66" s="1"/>
  <c r="H10" i="66"/>
  <c r="H17" i="66"/>
  <c r="H8" i="66"/>
  <c r="H7" i="66"/>
  <c r="M4" i="59"/>
  <c r="N4" i="59" s="1"/>
  <c r="J15" i="71"/>
  <c r="B17" i="73"/>
  <c r="K23" i="51"/>
  <c r="G23" i="51"/>
  <c r="B8" i="74"/>
  <c r="F6" i="74"/>
  <c r="F8" i="74" s="1"/>
  <c r="B38" i="74"/>
  <c r="F41" i="47"/>
  <c r="F63" i="47"/>
  <c r="K9" i="57"/>
  <c r="M9" i="57" s="1"/>
  <c r="B15" i="73"/>
  <c r="D15" i="64"/>
  <c r="J15" i="64" s="1"/>
  <c r="J18" i="64" s="1"/>
  <c r="K12" i="47"/>
  <c r="K38" i="47" s="1"/>
  <c r="J54" i="64"/>
  <c r="J25" i="66" s="1"/>
  <c r="M6" i="59"/>
  <c r="N6" i="59" s="1"/>
  <c r="H25" i="66"/>
  <c r="K25" i="66" s="1"/>
  <c r="H54" i="64"/>
  <c r="E11" i="47"/>
  <c r="E37" i="47" s="1"/>
  <c r="J35" i="71"/>
  <c r="J40" i="73" s="1"/>
  <c r="K40" i="73" s="1"/>
  <c r="D5" i="71"/>
  <c r="J5" i="71" s="1"/>
  <c r="C27" i="57"/>
  <c r="D7" i="71"/>
  <c r="J7" i="71" s="1"/>
  <c r="K35" i="71" l="1"/>
  <c r="J7" i="66"/>
  <c r="G8" i="75"/>
  <c r="K8" i="75"/>
  <c r="E8" i="59"/>
  <c r="L23" i="75"/>
  <c r="K54" i="64"/>
  <c r="K8" i="51"/>
  <c r="G8" i="51"/>
  <c r="D8" i="59"/>
  <c r="B13" i="67"/>
  <c r="B23" i="67"/>
  <c r="L23" i="51"/>
  <c r="F18" i="71"/>
  <c r="D18" i="71" s="1"/>
  <c r="J18" i="71" s="1"/>
  <c r="H20" i="50"/>
  <c r="G20" i="50"/>
  <c r="D8" i="74"/>
  <c r="H37" i="71"/>
  <c r="B34" i="73"/>
  <c r="H17" i="73"/>
  <c r="B18" i="67" l="1"/>
  <c r="B7" i="70" s="1"/>
  <c r="B25" i="67"/>
  <c r="E20" i="51"/>
  <c r="L8" i="59"/>
  <c r="G5" i="50"/>
  <c r="H5" i="50"/>
  <c r="L8" i="51"/>
  <c r="F8" i="71"/>
  <c r="L8" i="75"/>
  <c r="H30" i="73"/>
  <c r="H20" i="73"/>
  <c r="H22" i="73"/>
  <c r="H21" i="73"/>
  <c r="H7" i="73"/>
  <c r="H32" i="73"/>
  <c r="H25" i="73"/>
  <c r="H12" i="73"/>
  <c r="J12" i="73" s="1"/>
  <c r="H6" i="73"/>
  <c r="H8" i="73"/>
  <c r="H11" i="73"/>
  <c r="D23" i="71"/>
  <c r="C9" i="49"/>
  <c r="F50" i="47" s="1"/>
  <c r="K8" i="57"/>
  <c r="B10" i="57"/>
  <c r="F8" i="59"/>
  <c r="G8" i="59" s="1"/>
  <c r="K8" i="59"/>
  <c r="H15" i="73"/>
  <c r="G9" i="50" l="1"/>
  <c r="H9" i="50"/>
  <c r="K20" i="51"/>
  <c r="G20" i="51"/>
  <c r="J23" i="71"/>
  <c r="F23" i="71"/>
  <c r="M8" i="59"/>
  <c r="N8" i="59" s="1"/>
  <c r="H36" i="71"/>
  <c r="H41" i="73"/>
  <c r="L50" i="47"/>
  <c r="F53" i="47"/>
  <c r="J9" i="84"/>
  <c r="J9" i="82"/>
  <c r="C10" i="57"/>
  <c r="C26" i="57"/>
  <c r="D8" i="71"/>
  <c r="J8" i="71" s="1"/>
  <c r="J10" i="71" s="1"/>
  <c r="E12" i="47"/>
  <c r="E38" i="47" s="1"/>
  <c r="J36" i="71"/>
  <c r="J41" i="73" s="1"/>
  <c r="F10" i="71"/>
  <c r="G20" i="48"/>
  <c r="K20" i="48"/>
  <c r="H24" i="50"/>
  <c r="G24" i="50"/>
  <c r="B24" i="67" s="1"/>
  <c r="J32" i="84"/>
  <c r="J31" i="82"/>
  <c r="J34" i="82" s="1"/>
  <c r="J32" i="82"/>
  <c r="M8" i="57"/>
  <c r="J31" i="84"/>
  <c r="K10" i="57"/>
  <c r="B15" i="67"/>
  <c r="E5" i="51"/>
  <c r="K5" i="48"/>
  <c r="G5" i="48"/>
  <c r="B14" i="67"/>
  <c r="G24" i="48" l="1"/>
  <c r="K24" i="48"/>
  <c r="L24" i="48" s="1"/>
  <c r="J34" i="84"/>
  <c r="D24" i="67"/>
  <c r="B73" i="67"/>
  <c r="L5" i="48"/>
  <c r="D14" i="67"/>
  <c r="D9" i="82"/>
  <c r="D32" i="84"/>
  <c r="D32" i="82"/>
  <c r="D31" i="82"/>
  <c r="D31" i="84"/>
  <c r="D34" i="84" s="1"/>
  <c r="M10" i="57"/>
  <c r="B26" i="67"/>
  <c r="E24" i="75"/>
  <c r="E24" i="51"/>
  <c r="K41" i="73"/>
  <c r="D9" i="49"/>
  <c r="G9" i="48"/>
  <c r="K9" i="48"/>
  <c r="L9" i="48" s="1"/>
  <c r="K36" i="71"/>
  <c r="L20" i="48"/>
  <c r="F23" i="67"/>
  <c r="D23" i="67" s="1"/>
  <c r="D9" i="84"/>
  <c r="E9" i="51"/>
  <c r="E9" i="75"/>
  <c r="B16" i="67"/>
  <c r="E13" i="47"/>
  <c r="F11" i="73"/>
  <c r="D11" i="73" s="1"/>
  <c r="J11" i="73" s="1"/>
  <c r="J37" i="71"/>
  <c r="K37" i="71" s="1"/>
  <c r="L20" i="51"/>
  <c r="F25" i="67"/>
  <c r="D25" i="67" s="1"/>
  <c r="D10" i="71"/>
  <c r="F6" i="73"/>
  <c r="D6" i="73" s="1"/>
  <c r="J6" i="73" s="1"/>
  <c r="L9" i="82"/>
  <c r="L53" i="47"/>
  <c r="B26" i="77"/>
  <c r="L9" i="84"/>
  <c r="D34" i="82" l="1"/>
  <c r="J13" i="82"/>
  <c r="D13" i="82"/>
  <c r="E10" i="57"/>
  <c r="K5" i="51"/>
  <c r="G5" i="51"/>
  <c r="E17" i="75"/>
  <c r="E49" i="75"/>
  <c r="C9" i="59"/>
  <c r="E49" i="51"/>
  <c r="D12" i="82"/>
  <c r="D36" i="82" s="1"/>
  <c r="J12" i="82"/>
  <c r="D10" i="57"/>
  <c r="E32" i="75"/>
  <c r="E53" i="75" s="1"/>
  <c r="F9" i="82"/>
  <c r="B72" i="67"/>
  <c r="F9" i="84"/>
  <c r="E9" i="49"/>
  <c r="I9" i="49"/>
  <c r="J9" i="49" s="1"/>
  <c r="F13" i="67"/>
  <c r="L5" i="51" l="1"/>
  <c r="F15" i="67"/>
  <c r="D15" i="67" s="1"/>
  <c r="E52" i="75"/>
  <c r="E40" i="75"/>
  <c r="E47" i="75" s="1"/>
  <c r="J12" i="84"/>
  <c r="L12" i="82"/>
  <c r="J36" i="82"/>
  <c r="D12" i="84"/>
  <c r="F12" i="82"/>
  <c r="D13" i="67"/>
  <c r="F12" i="84" l="1"/>
  <c r="D36" i="84"/>
  <c r="E9" i="59"/>
  <c r="G9" i="75"/>
  <c r="K9" i="75"/>
  <c r="F49" i="75"/>
  <c r="F17" i="75"/>
  <c r="K9" i="51"/>
  <c r="G9" i="51"/>
  <c r="D9" i="59"/>
  <c r="F49" i="51"/>
  <c r="K24" i="75"/>
  <c r="F32" i="75"/>
  <c r="G24" i="75"/>
  <c r="K24" i="51"/>
  <c r="G24" i="51"/>
  <c r="L12" i="84"/>
  <c r="J36" i="84"/>
  <c r="K9" i="59" l="1"/>
  <c r="F9" i="59"/>
  <c r="G9" i="59" s="1"/>
  <c r="G32" i="75"/>
  <c r="L24" i="75"/>
  <c r="K32" i="75"/>
  <c r="L32" i="75" s="1"/>
  <c r="F16" i="67"/>
  <c r="L9" i="51"/>
  <c r="G17" i="75"/>
  <c r="F40" i="75"/>
  <c r="K49" i="75"/>
  <c r="L49" i="75" s="1"/>
  <c r="G49" i="75"/>
  <c r="L9" i="75"/>
  <c r="K17" i="75"/>
  <c r="C47" i="42"/>
  <c r="F26" i="67"/>
  <c r="D26" i="67" s="1"/>
  <c r="L24" i="51"/>
  <c r="K49" i="51"/>
  <c r="L49" i="51" s="1"/>
  <c r="G49" i="51"/>
  <c r="L9" i="59"/>
  <c r="E14" i="59"/>
  <c r="E18" i="59" s="1"/>
  <c r="E50" i="47" l="1"/>
  <c r="L14" i="59"/>
  <c r="L18" i="59" s="1"/>
  <c r="K40" i="75"/>
  <c r="L17" i="75"/>
  <c r="D16" i="67"/>
  <c r="F18" i="67"/>
  <c r="H13" i="84"/>
  <c r="H13" i="82"/>
  <c r="F47" i="75"/>
  <c r="G40" i="75"/>
  <c r="E20" i="59"/>
  <c r="M9" i="59"/>
  <c r="N9" i="59" s="1"/>
  <c r="F7" i="70" l="1"/>
  <c r="D7" i="70" s="1"/>
  <c r="D18" i="67"/>
  <c r="B13" i="82"/>
  <c r="F13" i="82" s="1"/>
  <c r="F15" i="82" s="1"/>
  <c r="L13" i="82"/>
  <c r="L15" i="82" s="1"/>
  <c r="H31" i="82" s="1"/>
  <c r="L31" i="82" s="1"/>
  <c r="G47" i="75"/>
  <c r="L40" i="75"/>
  <c r="K47" i="75"/>
  <c r="L13" i="84"/>
  <c r="L15" i="84" s="1"/>
  <c r="H31" i="84" s="1"/>
  <c r="L31" i="84" s="1"/>
  <c r="B13" i="84"/>
  <c r="F13" i="84" s="1"/>
  <c r="F15" i="84" s="1"/>
  <c r="B31" i="84" s="1"/>
  <c r="F31" i="84" s="1"/>
  <c r="E53" i="47"/>
  <c r="G53" i="47" s="1"/>
  <c r="G50" i="47"/>
  <c r="I65" i="47" s="1"/>
  <c r="K50" i="47"/>
  <c r="M50" i="47" s="1"/>
  <c r="K65" i="47" s="1"/>
  <c r="L47" i="75" l="1"/>
  <c r="L52" i="75" s="1"/>
  <c r="K52" i="75"/>
  <c r="C30" i="42" s="1"/>
  <c r="B31" i="82"/>
  <c r="F31" i="82" s="1"/>
  <c r="F36" i="82"/>
  <c r="L20" i="59"/>
  <c r="B6" i="55" l="1"/>
  <c r="B21" i="77"/>
  <c r="I52" i="47"/>
  <c r="L52" i="47" s="1"/>
  <c r="H8" i="80" l="1"/>
  <c r="B7" i="55"/>
  <c r="C5" i="55" s="1"/>
  <c r="F8" i="80"/>
  <c r="B25" i="29"/>
  <c r="C18" i="29"/>
  <c r="I18" i="29"/>
  <c r="B20" i="29"/>
  <c r="I27" i="22"/>
  <c r="J27" i="22" s="1"/>
  <c r="E27" i="22"/>
  <c r="C6" i="55" l="1"/>
  <c r="C7" i="55" s="1"/>
  <c r="J8" i="80"/>
  <c r="L8" i="80" s="1"/>
  <c r="B29" i="81" s="1"/>
  <c r="J7" i="80"/>
  <c r="L7" i="80" s="1"/>
  <c r="B28" i="81" s="1"/>
  <c r="I57" i="47"/>
  <c r="L57" i="47" s="1"/>
  <c r="H9" i="80"/>
  <c r="L12" i="57"/>
  <c r="J15" i="33"/>
  <c r="H10" i="80" l="1"/>
  <c r="H11" i="80" s="1"/>
  <c r="F7" i="33"/>
  <c r="J7" i="33" s="1"/>
  <c r="B21" i="72"/>
  <c r="D20" i="29"/>
  <c r="C20" i="29" s="1"/>
  <c r="C19" i="29"/>
  <c r="H19" i="29"/>
  <c r="B25" i="71"/>
  <c r="D30" i="22"/>
  <c r="B26" i="71"/>
  <c r="E28" i="22"/>
  <c r="I28" i="22"/>
  <c r="J28" i="22" s="1"/>
  <c r="F6" i="33"/>
  <c r="H8" i="76"/>
  <c r="H6" i="78" s="1"/>
  <c r="E25" i="76" l="1"/>
  <c r="E10" i="76"/>
  <c r="F8" i="76" s="1"/>
  <c r="F7" i="76"/>
  <c r="F10" i="76" s="1"/>
  <c r="H7" i="76"/>
  <c r="E27" i="76"/>
  <c r="F9" i="76"/>
  <c r="H9" i="76"/>
  <c r="H37" i="78"/>
  <c r="F18" i="76"/>
  <c r="H18" i="76"/>
  <c r="E19" i="76"/>
  <c r="F17" i="76" s="1"/>
  <c r="H16" i="76"/>
  <c r="H52" i="78"/>
  <c r="F52" i="78" s="1"/>
  <c r="J6" i="78"/>
  <c r="L6" i="78" s="1"/>
  <c r="H7" i="78"/>
  <c r="E26" i="76"/>
  <c r="H29" i="78"/>
  <c r="H17" i="76"/>
  <c r="J6" i="33"/>
  <c r="F13" i="33"/>
  <c r="F14" i="33"/>
  <c r="J14" i="33" s="1"/>
  <c r="B14" i="73"/>
  <c r="H14" i="73" s="1"/>
  <c r="J14" i="73" s="1"/>
  <c r="H26" i="71"/>
  <c r="F7" i="68"/>
  <c r="D7" i="68" s="1"/>
  <c r="B19" i="72" s="1"/>
  <c r="D32" i="27"/>
  <c r="H20" i="29"/>
  <c r="I20" i="29" s="1"/>
  <c r="I19" i="29"/>
  <c r="C23" i="29"/>
  <c r="D25" i="29"/>
  <c r="C25" i="29" s="1"/>
  <c r="H23" i="29"/>
  <c r="B29" i="73"/>
  <c r="H29" i="73" s="1"/>
  <c r="H21" i="72"/>
  <c r="I26" i="22"/>
  <c r="E26" i="22"/>
  <c r="C24" i="29"/>
  <c r="H24" i="29"/>
  <c r="I24" i="29" s="1"/>
  <c r="L16" i="57"/>
  <c r="L17" i="57" s="1"/>
  <c r="L24" i="57" s="1"/>
  <c r="H17" i="57"/>
  <c r="B30" i="22"/>
  <c r="B13" i="73"/>
  <c r="H13" i="73" s="1"/>
  <c r="J13" i="73" s="1"/>
  <c r="J15" i="73" s="1"/>
  <c r="H25" i="71"/>
  <c r="F16" i="68"/>
  <c r="H26" i="76" l="1"/>
  <c r="J7" i="78"/>
  <c r="L7" i="78" s="1"/>
  <c r="H8" i="78"/>
  <c r="H43" i="78"/>
  <c r="H19" i="76"/>
  <c r="I18" i="76" s="1"/>
  <c r="N41" i="78" s="1"/>
  <c r="I16" i="76"/>
  <c r="H13" i="78"/>
  <c r="F16" i="76"/>
  <c r="F19" i="76" s="1"/>
  <c r="H10" i="76"/>
  <c r="I8" i="76" s="1"/>
  <c r="H19" i="78"/>
  <c r="B52" i="78"/>
  <c r="H27" i="76"/>
  <c r="I17" i="76"/>
  <c r="E28" i="76"/>
  <c r="F27" i="76" s="1"/>
  <c r="H25" i="76"/>
  <c r="J29" i="78"/>
  <c r="H53" i="78"/>
  <c r="J53" i="78" s="1"/>
  <c r="H30" i="78"/>
  <c r="H31" i="78" s="1"/>
  <c r="H32" i="78" s="1"/>
  <c r="J28" i="78"/>
  <c r="L28" i="78" s="1"/>
  <c r="J37" i="78"/>
  <c r="H61" i="78"/>
  <c r="H38" i="78"/>
  <c r="H39" i="78" s="1"/>
  <c r="H40" i="78" s="1"/>
  <c r="J36" i="78"/>
  <c r="L36" i="78" s="1"/>
  <c r="F17" i="33"/>
  <c r="C39" i="42" s="1"/>
  <c r="H25" i="29"/>
  <c r="I25" i="29" s="1"/>
  <c r="I23" i="29"/>
  <c r="J26" i="22"/>
  <c r="H52" i="47"/>
  <c r="H71" i="47"/>
  <c r="N17" i="82"/>
  <c r="N17" i="84"/>
  <c r="H24" i="57"/>
  <c r="B27" i="73"/>
  <c r="H27" i="73" s="1"/>
  <c r="H19" i="72"/>
  <c r="D33" i="27"/>
  <c r="F15" i="68"/>
  <c r="J17" i="33"/>
  <c r="D21" i="72" s="1"/>
  <c r="J13" i="78" l="1"/>
  <c r="L13" i="78" s="1"/>
  <c r="H14" i="78"/>
  <c r="H60" i="78"/>
  <c r="J60" i="78" s="1"/>
  <c r="F56" i="47"/>
  <c r="J52" i="78"/>
  <c r="L52" i="78" s="1"/>
  <c r="B8" i="81" s="1"/>
  <c r="I19" i="76"/>
  <c r="N43" i="78"/>
  <c r="P43" i="78" s="1"/>
  <c r="J61" i="78"/>
  <c r="I7" i="76"/>
  <c r="I56" i="47"/>
  <c r="I58" i="47" s="1"/>
  <c r="J43" i="78"/>
  <c r="H28" i="76"/>
  <c r="I25" i="76" s="1"/>
  <c r="J19" i="78"/>
  <c r="H67" i="78"/>
  <c r="F25" i="76"/>
  <c r="B16" i="77"/>
  <c r="N10" i="78"/>
  <c r="H54" i="78"/>
  <c r="F54" i="78" s="1"/>
  <c r="I26" i="76"/>
  <c r="N33" i="78"/>
  <c r="I27" i="76"/>
  <c r="I9" i="76"/>
  <c r="N17" i="78" s="1"/>
  <c r="H55" i="78"/>
  <c r="J55" i="78" s="1"/>
  <c r="H9" i="78"/>
  <c r="J8" i="78"/>
  <c r="F26" i="76"/>
  <c r="J52" i="47"/>
  <c r="H53" i="47"/>
  <c r="J53" i="47" s="1"/>
  <c r="K52" i="47"/>
  <c r="F6" i="68"/>
  <c r="D6" i="68" s="1"/>
  <c r="F21" i="72"/>
  <c r="F29" i="73" s="1"/>
  <c r="D29" i="73" s="1"/>
  <c r="J29" i="73" s="1"/>
  <c r="E24" i="22"/>
  <c r="I24" i="22"/>
  <c r="F8" i="68"/>
  <c r="D8" i="68" s="1"/>
  <c r="B20" i="72" s="1"/>
  <c r="J21" i="72"/>
  <c r="R17" i="84"/>
  <c r="R27" i="84" s="1"/>
  <c r="N32" i="84" s="1"/>
  <c r="R32" i="84" s="1"/>
  <c r="R34" i="84" s="1"/>
  <c r="B17" i="84"/>
  <c r="F17" i="84" s="1"/>
  <c r="F27" i="84" s="1"/>
  <c r="B32" i="84" s="1"/>
  <c r="F32" i="84" s="1"/>
  <c r="F34" i="84" s="1"/>
  <c r="R17" i="82"/>
  <c r="R27" i="82" s="1"/>
  <c r="N32" i="82" s="1"/>
  <c r="R32" i="82" s="1"/>
  <c r="R34" i="82" s="1"/>
  <c r="R38" i="82" s="1"/>
  <c r="B17" i="82"/>
  <c r="F17" i="82" s="1"/>
  <c r="F27" i="82" s="1"/>
  <c r="F29" i="78" l="1"/>
  <c r="B53" i="78"/>
  <c r="J14" i="78"/>
  <c r="L14" i="78" s="1"/>
  <c r="H15" i="78"/>
  <c r="H62" i="78"/>
  <c r="J62" i="78" s="1"/>
  <c r="N57" i="78"/>
  <c r="B12" i="77"/>
  <c r="D13" i="81" s="1"/>
  <c r="I10" i="76"/>
  <c r="N19" i="78"/>
  <c r="P19" i="78" s="1"/>
  <c r="L56" i="47"/>
  <c r="L58" i="47" s="1"/>
  <c r="F58" i="47"/>
  <c r="H56" i="78"/>
  <c r="J56" i="78" s="1"/>
  <c r="J9" i="78"/>
  <c r="J54" i="78"/>
  <c r="L54" i="78" s="1"/>
  <c r="B10" i="81" s="1"/>
  <c r="B54" i="78"/>
  <c r="B17" i="77"/>
  <c r="B23" i="77" s="1"/>
  <c r="N67" i="78"/>
  <c r="P67" i="78" s="1"/>
  <c r="B11" i="77"/>
  <c r="F28" i="76"/>
  <c r="F60" i="78"/>
  <c r="L60" i="78" s="1"/>
  <c r="B16" i="81" s="1"/>
  <c r="B60" i="78"/>
  <c r="I28" i="76"/>
  <c r="N65" i="78"/>
  <c r="B13" i="77"/>
  <c r="D21" i="81" s="1"/>
  <c r="F37" i="78"/>
  <c r="B61" i="78"/>
  <c r="B28" i="73"/>
  <c r="H28" i="73" s="1"/>
  <c r="H20" i="72"/>
  <c r="F37" i="82"/>
  <c r="B32" i="82"/>
  <c r="F32" i="82" s="1"/>
  <c r="F34" i="82" s="1"/>
  <c r="J24" i="22"/>
  <c r="M65" i="47"/>
  <c r="B18" i="72"/>
  <c r="N65" i="47"/>
  <c r="K53" i="47"/>
  <c r="M52" i="47"/>
  <c r="H63" i="78" l="1"/>
  <c r="J63" i="78" s="1"/>
  <c r="J15" i="78"/>
  <c r="H16" i="78"/>
  <c r="D23" i="81"/>
  <c r="D25" i="81" s="1"/>
  <c r="F61" i="78"/>
  <c r="L61" i="78" s="1"/>
  <c r="B17" i="81" s="1"/>
  <c r="L37" i="78"/>
  <c r="F62" i="78"/>
  <c r="L62" i="78" s="1"/>
  <c r="B18" i="81" s="1"/>
  <c r="B62" i="78"/>
  <c r="F53" i="78"/>
  <c r="L53" i="78" s="1"/>
  <c r="B9" i="81" s="1"/>
  <c r="L29" i="78"/>
  <c r="F11" i="80"/>
  <c r="L11" i="80" s="1"/>
  <c r="B32" i="81" s="1"/>
  <c r="F10" i="80"/>
  <c r="L10" i="80" s="1"/>
  <c r="B31" i="81" s="1"/>
  <c r="F14" i="68"/>
  <c r="F40" i="78"/>
  <c r="L40" i="78" s="1"/>
  <c r="F32" i="78"/>
  <c r="L32" i="78" s="1"/>
  <c r="I71" i="47"/>
  <c r="J71" i="47" s="1"/>
  <c r="M53" i="47"/>
  <c r="F38" i="82" s="1"/>
  <c r="I25" i="22"/>
  <c r="E25" i="22"/>
  <c r="C30" i="22"/>
  <c r="B26" i="73"/>
  <c r="H26" i="73" s="1"/>
  <c r="H18" i="72"/>
  <c r="F31" i="78"/>
  <c r="L31" i="78" s="1"/>
  <c r="L33" i="78" s="1"/>
  <c r="F39" i="78"/>
  <c r="L39" i="78" s="1"/>
  <c r="H64" i="78" l="1"/>
  <c r="J64" i="78" s="1"/>
  <c r="J16" i="78"/>
  <c r="L41" i="78"/>
  <c r="P41" i="78" s="1"/>
  <c r="J25" i="22"/>
  <c r="I30" i="22"/>
  <c r="J30" i="22" s="1"/>
  <c r="C8" i="27"/>
  <c r="P33" i="78"/>
  <c r="P45" i="78" s="1"/>
  <c r="J56" i="47" s="1"/>
  <c r="H56" i="47" s="1"/>
  <c r="F16" i="78"/>
  <c r="B64" i="78"/>
  <c r="C7" i="27"/>
  <c r="C5" i="27"/>
  <c r="F9" i="78"/>
  <c r="B56" i="78"/>
  <c r="E30" i="22"/>
  <c r="C9" i="27"/>
  <c r="H8" i="27" l="1"/>
  <c r="I8" i="27" s="1"/>
  <c r="H5" i="27"/>
  <c r="I5" i="27" s="1"/>
  <c r="F15" i="78"/>
  <c r="B63" i="78"/>
  <c r="H7" i="27"/>
  <c r="I7" i="27" s="1"/>
  <c r="F8" i="78"/>
  <c r="B55" i="78"/>
  <c r="P73" i="78"/>
  <c r="F56" i="78"/>
  <c r="L56" i="78" s="1"/>
  <c r="B12" i="81" s="1"/>
  <c r="L9" i="78"/>
  <c r="C4" i="28"/>
  <c r="C5" i="28"/>
  <c r="H9" i="27"/>
  <c r="I9" i="27" s="1"/>
  <c r="L16" i="78"/>
  <c r="F64" i="78"/>
  <c r="L64" i="78" s="1"/>
  <c r="B20" i="81" s="1"/>
  <c r="I11" i="27" l="1"/>
  <c r="H5" i="28"/>
  <c r="I5" i="28" s="1"/>
  <c r="L15" i="78"/>
  <c r="L17" i="78" s="1"/>
  <c r="P17" i="78" s="1"/>
  <c r="F63" i="78"/>
  <c r="L63" i="78" s="1"/>
  <c r="F55" i="78"/>
  <c r="L55" i="78" s="1"/>
  <c r="L8" i="78"/>
  <c r="L10" i="78" s="1"/>
  <c r="H4" i="28"/>
  <c r="I4" i="28" s="1"/>
  <c r="I7" i="28" s="1"/>
  <c r="B14" i="74"/>
  <c r="B15" i="74"/>
  <c r="C16" i="27" l="1"/>
  <c r="C10" i="28"/>
  <c r="C5" i="26"/>
  <c r="D20" i="72"/>
  <c r="D26" i="71"/>
  <c r="C17" i="27"/>
  <c r="C14" i="27"/>
  <c r="C4" i="26"/>
  <c r="H43" i="73"/>
  <c r="P10" i="78"/>
  <c r="P21" i="78" s="1"/>
  <c r="G56" i="47" s="1"/>
  <c r="E56" i="47" s="1"/>
  <c r="B19" i="81"/>
  <c r="B21" i="81" s="1"/>
  <c r="F21" i="81" s="1"/>
  <c r="L65" i="78"/>
  <c r="P65" i="78" s="1"/>
  <c r="C11" i="28"/>
  <c r="C18" i="27"/>
  <c r="B11" i="81"/>
  <c r="B13" i="81" s="1"/>
  <c r="F13" i="81" s="1"/>
  <c r="F25" i="81" s="1"/>
  <c r="L57" i="78"/>
  <c r="D25" i="71"/>
  <c r="D19" i="72"/>
  <c r="B31" i="74"/>
  <c r="F18" i="30"/>
  <c r="F7" i="30" s="1"/>
  <c r="D31" i="74" s="1"/>
  <c r="G23" i="30"/>
  <c r="E17" i="30"/>
  <c r="E6" i="30" s="1"/>
  <c r="D14" i="74" s="1"/>
  <c r="F17" i="30"/>
  <c r="F6" i="30" s="1"/>
  <c r="D15" i="74" s="1"/>
  <c r="F14" i="74"/>
  <c r="H18" i="27" l="1"/>
  <c r="I18" i="27" s="1"/>
  <c r="C35" i="27"/>
  <c r="H11" i="28"/>
  <c r="I11" i="28" s="1"/>
  <c r="D19" i="28"/>
  <c r="H16" i="27"/>
  <c r="I16" i="27" s="1"/>
  <c r="C33" i="27"/>
  <c r="H14" i="27"/>
  <c r="I14" i="27" s="1"/>
  <c r="C32" i="27"/>
  <c r="C36" i="42"/>
  <c r="H17" i="27"/>
  <c r="I17" i="27" s="1"/>
  <c r="C34" i="27"/>
  <c r="P57" i="78"/>
  <c r="P69" i="78" s="1"/>
  <c r="P75" i="78" s="1"/>
  <c r="F26" i="71"/>
  <c r="F14" i="73" s="1"/>
  <c r="J26" i="71"/>
  <c r="H5" i="26"/>
  <c r="I5" i="26" s="1"/>
  <c r="H10" i="28"/>
  <c r="I10" i="28" s="1"/>
  <c r="I13" i="28" s="1"/>
  <c r="C19" i="28"/>
  <c r="C37" i="42" s="1"/>
  <c r="F19" i="72"/>
  <c r="F27" i="73" s="1"/>
  <c r="D27" i="73" s="1"/>
  <c r="J27" i="73" s="1"/>
  <c r="J19" i="72"/>
  <c r="P72" i="78"/>
  <c r="F20" i="72"/>
  <c r="F28" i="73" s="1"/>
  <c r="D28" i="73" s="1"/>
  <c r="J28" i="73" s="1"/>
  <c r="J20" i="72"/>
  <c r="F25" i="71"/>
  <c r="F13" i="73" s="1"/>
  <c r="J25" i="71"/>
  <c r="K56" i="47"/>
  <c r="M56" i="47" s="1"/>
  <c r="H66" i="47" s="1"/>
  <c r="E58" i="47"/>
  <c r="G58" i="47" s="1"/>
  <c r="H4" i="26"/>
  <c r="I4" i="26" s="1"/>
  <c r="I7" i="26" s="1"/>
  <c r="F31" i="74"/>
  <c r="B29" i="74"/>
  <c r="D18" i="30"/>
  <c r="D7" i="30" s="1"/>
  <c r="D29" i="74" s="1"/>
  <c r="G28" i="30"/>
  <c r="G18" i="30" s="1"/>
  <c r="G7" i="30" s="1"/>
  <c r="F15" i="74"/>
  <c r="B13" i="74"/>
  <c r="G27" i="30"/>
  <c r="D24" i="71" l="1"/>
  <c r="D18" i="72"/>
  <c r="P74" i="78"/>
  <c r="I20" i="27"/>
  <c r="C14" i="42"/>
  <c r="D26" i="69"/>
  <c r="D65" i="67"/>
  <c r="F37" i="81"/>
  <c r="C11" i="26"/>
  <c r="H47" i="70"/>
  <c r="C10" i="26"/>
  <c r="N75" i="47"/>
  <c r="F29" i="74"/>
  <c r="F32" i="74" s="1"/>
  <c r="B32" i="74"/>
  <c r="B16" i="74"/>
  <c r="B18" i="74" s="1"/>
  <c r="B36" i="74" s="1"/>
  <c r="D17" i="30"/>
  <c r="G22" i="30"/>
  <c r="G17" i="30" s="1"/>
  <c r="G6" i="30" s="1"/>
  <c r="N74" i="47" s="1"/>
  <c r="H10" i="26" l="1"/>
  <c r="I10" i="26" s="1"/>
  <c r="C21" i="26"/>
  <c r="H11" i="26"/>
  <c r="I11" i="26" s="1"/>
  <c r="D21" i="26"/>
  <c r="F18" i="72"/>
  <c r="J18" i="72"/>
  <c r="D25" i="69"/>
  <c r="D64" i="67"/>
  <c r="F24" i="71"/>
  <c r="J24" i="71"/>
  <c r="J27" i="71" s="1"/>
  <c r="D6" i="30"/>
  <c r="D13" i="74" s="1"/>
  <c r="B6" i="25"/>
  <c r="D32" i="74"/>
  <c r="H35" i="69"/>
  <c r="I13" i="26" l="1"/>
  <c r="F12" i="73"/>
  <c r="F15" i="73" s="1"/>
  <c r="D15" i="73" s="1"/>
  <c r="E14" i="47"/>
  <c r="H38" i="71"/>
  <c r="J38" i="71"/>
  <c r="J43" i="73" s="1"/>
  <c r="K43" i="73" s="1"/>
  <c r="F27" i="71"/>
  <c r="D27" i="71" s="1"/>
  <c r="D63" i="67"/>
  <c r="D24" i="69"/>
  <c r="F15" i="26"/>
  <c r="C35" i="42" s="1"/>
  <c r="H31" i="72"/>
  <c r="K31" i="72" s="1"/>
  <c r="E26" i="47"/>
  <c r="F26" i="73"/>
  <c r="D26" i="73" s="1"/>
  <c r="J26" i="73" s="1"/>
  <c r="J31" i="72"/>
  <c r="D23" i="69"/>
  <c r="B9" i="80"/>
  <c r="F9" i="80" s="1"/>
  <c r="L9" i="80" s="1"/>
  <c r="F6" i="25"/>
  <c r="J6" i="25" s="1"/>
  <c r="B8" i="77" s="1"/>
  <c r="F13" i="74"/>
  <c r="F16" i="74" s="1"/>
  <c r="E40" i="47" l="1"/>
  <c r="K38" i="71"/>
  <c r="B30" i="81"/>
  <c r="B33" i="81" s="1"/>
  <c r="F33" i="81" s="1"/>
  <c r="L12" i="80"/>
  <c r="P12" i="80" s="1"/>
  <c r="F18" i="74"/>
  <c r="D16" i="74"/>
  <c r="H30" i="72"/>
  <c r="F23" i="69"/>
  <c r="J23" i="69"/>
  <c r="H42" i="73" l="1"/>
  <c r="D17" i="72"/>
  <c r="D18" i="74"/>
  <c r="F36" i="74"/>
  <c r="J57" i="47"/>
  <c r="H57" i="47" s="1"/>
  <c r="P14" i="80"/>
  <c r="C15" i="42" s="1"/>
  <c r="H72" i="47"/>
  <c r="F38" i="81"/>
  <c r="F35" i="81"/>
  <c r="H25" i="47"/>
  <c r="J35" i="69"/>
  <c r="F30" i="70"/>
  <c r="D30" i="70" l="1"/>
  <c r="K35" i="69"/>
  <c r="K57" i="47"/>
  <c r="H58" i="47"/>
  <c r="J58" i="47" s="1"/>
  <c r="D36" i="74"/>
  <c r="J17" i="72"/>
  <c r="J22" i="72" s="1"/>
  <c r="F17" i="72"/>
  <c r="M57" i="47" l="1"/>
  <c r="I66" i="47" s="1"/>
  <c r="K58" i="47"/>
  <c r="F22" i="72"/>
  <c r="J30" i="72"/>
  <c r="E25" i="47"/>
  <c r="F25" i="73"/>
  <c r="K30" i="72" l="1"/>
  <c r="J42" i="73"/>
  <c r="D22" i="72"/>
  <c r="I72" i="47"/>
  <c r="J72" i="47" s="1"/>
  <c r="M58" i="47"/>
  <c r="D25" i="73"/>
  <c r="J25" i="73" s="1"/>
  <c r="J30" i="73" s="1"/>
  <c r="F30" i="73"/>
  <c r="E39" i="47"/>
  <c r="K42" i="73" l="1"/>
  <c r="D30" i="73"/>
  <c r="J66" i="47"/>
  <c r="F39" i="81"/>
  <c r="C44" i="42" s="1"/>
  <c r="B7" i="72" l="1"/>
  <c r="H7" i="72" s="1"/>
  <c r="B6" i="72" l="1"/>
  <c r="H6" i="72" s="1"/>
  <c r="H12" i="29" l="1"/>
  <c r="C12" i="29"/>
  <c r="I12" i="57" l="1"/>
  <c r="K12" i="57"/>
  <c r="M12" i="57" s="1"/>
  <c r="G26" i="57"/>
  <c r="I12" i="29"/>
  <c r="F7" i="72"/>
  <c r="D7" i="72" s="1"/>
  <c r="J7" i="72" s="1"/>
  <c r="E15" i="22" l="1"/>
  <c r="I15" i="22"/>
  <c r="H28" i="72" l="1"/>
  <c r="J15" i="22"/>
  <c r="F6" i="72"/>
  <c r="H38" i="73"/>
  <c r="D6" i="72" l="1"/>
  <c r="J6" i="72" s="1"/>
  <c r="J28" i="72"/>
  <c r="E23" i="47"/>
  <c r="E35" i="47" s="1"/>
  <c r="K28" i="72" l="1"/>
  <c r="J38" i="73"/>
  <c r="K38" i="73" s="1"/>
  <c r="H17" i="84" l="1"/>
  <c r="L17" i="84" s="1"/>
  <c r="L27" i="84" s="1"/>
  <c r="H17" i="82"/>
  <c r="L17" i="82" s="1"/>
  <c r="L27" i="82" s="1"/>
  <c r="B14" i="29"/>
  <c r="B7" i="69" s="1"/>
  <c r="H7" i="69" l="1"/>
  <c r="H32" i="82"/>
  <c r="L32" i="82" s="1"/>
  <c r="L34" i="82" s="1"/>
  <c r="L65" i="47"/>
  <c r="H32" i="84"/>
  <c r="L32" i="84" s="1"/>
  <c r="L34" i="84" s="1"/>
  <c r="L38" i="82" l="1"/>
  <c r="C46" i="42" s="1"/>
  <c r="C8" i="29" l="1"/>
  <c r="I8" i="29"/>
  <c r="B9" i="29"/>
  <c r="B64" i="67"/>
  <c r="D15" i="68"/>
  <c r="B25" i="69" s="1"/>
  <c r="B65" i="67"/>
  <c r="D16" i="68"/>
  <c r="B26" i="69" s="1"/>
  <c r="I16" i="57"/>
  <c r="I17" i="57" s="1"/>
  <c r="I24" i="57" s="1"/>
  <c r="G17" i="57"/>
  <c r="I19" i="22"/>
  <c r="J19" i="22" s="1"/>
  <c r="E19" i="22"/>
  <c r="B6" i="69"/>
  <c r="H6" i="69" s="1"/>
  <c r="D21" i="22"/>
  <c r="B21" i="22"/>
  <c r="B32" i="67" l="1"/>
  <c r="D12" i="22"/>
  <c r="F26" i="69"/>
  <c r="F33" i="70" s="1"/>
  <c r="H26" i="69"/>
  <c r="J26" i="69" s="1"/>
  <c r="B33" i="70"/>
  <c r="B27" i="29"/>
  <c r="C9" i="29"/>
  <c r="I9" i="29"/>
  <c r="C13" i="29"/>
  <c r="H13" i="29"/>
  <c r="D14" i="29"/>
  <c r="B12" i="22"/>
  <c r="G27" i="57"/>
  <c r="G24" i="57"/>
  <c r="B18" i="70"/>
  <c r="F65" i="67"/>
  <c r="F18" i="70" s="1"/>
  <c r="H25" i="69"/>
  <c r="J25" i="69" s="1"/>
  <c r="B32" i="70"/>
  <c r="F25" i="69"/>
  <c r="F32" i="70" s="1"/>
  <c r="E18" i="22"/>
  <c r="I18" i="22"/>
  <c r="B17" i="70"/>
  <c r="F64" i="67"/>
  <c r="F17" i="70" s="1"/>
  <c r="D32" i="70" l="1"/>
  <c r="I13" i="29"/>
  <c r="H14" i="29"/>
  <c r="D33" i="70"/>
  <c r="D40" i="22"/>
  <c r="D17" i="70"/>
  <c r="J18" i="22"/>
  <c r="B40" i="22"/>
  <c r="B63" i="67"/>
  <c r="D14" i="68"/>
  <c r="B24" i="69" s="1"/>
  <c r="D18" i="70"/>
  <c r="C14" i="29"/>
  <c r="D27" i="29"/>
  <c r="C27" i="29" l="1"/>
  <c r="E38" i="48"/>
  <c r="F24" i="69"/>
  <c r="B31" i="70"/>
  <c r="H24" i="69"/>
  <c r="J24" i="69" s="1"/>
  <c r="J27" i="69" s="1"/>
  <c r="F7" i="69"/>
  <c r="D7" i="69" s="1"/>
  <c r="J7" i="69" s="1"/>
  <c r="I14" i="29"/>
  <c r="H27" i="29"/>
  <c r="F63" i="67"/>
  <c r="B16" i="70"/>
  <c r="I9" i="22" l="1"/>
  <c r="C12" i="22"/>
  <c r="E9" i="22"/>
  <c r="K16" i="57"/>
  <c r="B17" i="57"/>
  <c r="B24" i="57" s="1"/>
  <c r="E17" i="48"/>
  <c r="B5" i="67"/>
  <c r="C5" i="49"/>
  <c r="C14" i="49" s="1"/>
  <c r="I27" i="29"/>
  <c r="I29" i="29" s="1"/>
  <c r="H29" i="29"/>
  <c r="B33" i="67"/>
  <c r="E32" i="48"/>
  <c r="H34" i="50"/>
  <c r="G34" i="50"/>
  <c r="G38" i="50" s="1"/>
  <c r="E38" i="50"/>
  <c r="C34" i="42"/>
  <c r="E17" i="50"/>
  <c r="H12" i="50"/>
  <c r="G12" i="50"/>
  <c r="H77" i="67"/>
  <c r="H14" i="47"/>
  <c r="F16" i="70"/>
  <c r="D16" i="70" s="1"/>
  <c r="J77" i="67"/>
  <c r="J47" i="70" s="1"/>
  <c r="K47" i="70" s="1"/>
  <c r="H36" i="69"/>
  <c r="H26" i="47"/>
  <c r="J36" i="69"/>
  <c r="F31" i="70"/>
  <c r="F27" i="69"/>
  <c r="D27" i="69" s="1"/>
  <c r="K36" i="69" l="1"/>
  <c r="D17" i="57"/>
  <c r="D24" i="57" s="1"/>
  <c r="H17" i="50"/>
  <c r="B7" i="67"/>
  <c r="E12" i="51"/>
  <c r="H27" i="50"/>
  <c r="E32" i="50"/>
  <c r="G27" i="50"/>
  <c r="B30" i="57"/>
  <c r="E40" i="50"/>
  <c r="E47" i="50" s="1"/>
  <c r="C29" i="57"/>
  <c r="C17" i="57"/>
  <c r="C24" i="57" s="1"/>
  <c r="M16" i="57"/>
  <c r="M17" i="57" s="1"/>
  <c r="M24" i="57" s="1"/>
  <c r="K17" i="57"/>
  <c r="K24" i="57" s="1"/>
  <c r="B10" i="67"/>
  <c r="E12" i="22"/>
  <c r="E34" i="51"/>
  <c r="E38" i="51" s="1"/>
  <c r="E54" i="51" s="1"/>
  <c r="H38" i="50"/>
  <c r="E40" i="48"/>
  <c r="H72" i="67"/>
  <c r="I12" i="22"/>
  <c r="J9" i="22"/>
  <c r="F32" i="67"/>
  <c r="D31" i="70"/>
  <c r="F34" i="70"/>
  <c r="D34" i="70" s="1"/>
  <c r="H40" i="47"/>
  <c r="O75" i="47" s="1"/>
  <c r="K77" i="67"/>
  <c r="I16" i="22"/>
  <c r="H42" i="70" s="1"/>
  <c r="E16" i="22"/>
  <c r="C21" i="22"/>
  <c r="E21" i="22" s="1"/>
  <c r="B6" i="67"/>
  <c r="G17" i="50"/>
  <c r="B62" i="67" l="1"/>
  <c r="B6" i="70"/>
  <c r="B68" i="67"/>
  <c r="H6" i="67" s="1"/>
  <c r="D6" i="67"/>
  <c r="D32" i="67"/>
  <c r="J72" i="67"/>
  <c r="H9" i="47"/>
  <c r="C40" i="22"/>
  <c r="C16" i="49"/>
  <c r="J12" i="22"/>
  <c r="E17" i="51"/>
  <c r="F6" i="69"/>
  <c r="J16" i="22"/>
  <c r="H33" i="69"/>
  <c r="I21" i="22"/>
  <c r="J21" i="22" s="1"/>
  <c r="K72" i="67"/>
  <c r="B34" i="67"/>
  <c r="G32" i="50"/>
  <c r="H7" i="67"/>
  <c r="E17" i="57"/>
  <c r="E24" i="57" s="1"/>
  <c r="B71" i="67"/>
  <c r="H32" i="50"/>
  <c r="B35" i="67"/>
  <c r="E27" i="51"/>
  <c r="E32" i="51" s="1"/>
  <c r="H40" i="50" l="1"/>
  <c r="H47" i="50" s="1"/>
  <c r="E53" i="51"/>
  <c r="H35" i="67"/>
  <c r="H23" i="47"/>
  <c r="J33" i="69"/>
  <c r="K33" i="69" s="1"/>
  <c r="D6" i="69"/>
  <c r="J6" i="69" s="1"/>
  <c r="K27" i="48"/>
  <c r="G27" i="48"/>
  <c r="F32" i="48"/>
  <c r="B66" i="67"/>
  <c r="H62" i="67"/>
  <c r="B15" i="70"/>
  <c r="B22" i="74"/>
  <c r="F17" i="48"/>
  <c r="G12" i="48"/>
  <c r="K12" i="48"/>
  <c r="D5" i="49"/>
  <c r="G40" i="50"/>
  <c r="F38" i="48"/>
  <c r="G34" i="48"/>
  <c r="K34" i="48"/>
  <c r="H35" i="47"/>
  <c r="O70" i="47" s="1"/>
  <c r="E30" i="57"/>
  <c r="J42" i="70"/>
  <c r="K42" i="70" s="1"/>
  <c r="E40" i="51"/>
  <c r="E47" i="51" s="1"/>
  <c r="E52" i="51"/>
  <c r="I40" i="22"/>
  <c r="J6" i="67"/>
  <c r="C5" i="59"/>
  <c r="C14" i="59" s="1"/>
  <c r="C18" i="59" s="1"/>
  <c r="E40" i="22"/>
  <c r="H36" i="67"/>
  <c r="J36" i="67" s="1"/>
  <c r="H22" i="67"/>
  <c r="J22" i="67" s="1"/>
  <c r="H14" i="67"/>
  <c r="J14" i="67" s="1"/>
  <c r="H58" i="67"/>
  <c r="J58" i="67" s="1"/>
  <c r="H25" i="67"/>
  <c r="J25" i="67" s="1"/>
  <c r="I15" i="47"/>
  <c r="H9" i="67"/>
  <c r="J9" i="67" s="1"/>
  <c r="H13" i="67"/>
  <c r="J13" i="67" s="1"/>
  <c r="H15" i="67"/>
  <c r="J15" i="67" s="1"/>
  <c r="B77" i="67"/>
  <c r="H26" i="67"/>
  <c r="J26" i="67" s="1"/>
  <c r="H45" i="67"/>
  <c r="J45" i="67" s="1"/>
  <c r="H46" i="67"/>
  <c r="J46" i="67" s="1"/>
  <c r="H37" i="67"/>
  <c r="J37" i="67" s="1"/>
  <c r="H31" i="67"/>
  <c r="H57" i="67"/>
  <c r="J57" i="67" s="1"/>
  <c r="H47" i="67"/>
  <c r="J47" i="67" s="1"/>
  <c r="H56" i="67"/>
  <c r="J56" i="67" s="1"/>
  <c r="H16" i="67"/>
  <c r="J16" i="67" s="1"/>
  <c r="H17" i="67"/>
  <c r="J17" i="67" s="1"/>
  <c r="H27" i="67"/>
  <c r="J27" i="67" s="1"/>
  <c r="H8" i="67"/>
  <c r="J8" i="67" s="1"/>
  <c r="H52" i="67"/>
  <c r="H44" i="67"/>
  <c r="J44" i="67" s="1"/>
  <c r="H55" i="67"/>
  <c r="J55" i="67" s="1"/>
  <c r="H21" i="67"/>
  <c r="H54" i="67"/>
  <c r="J54" i="67" s="1"/>
  <c r="H48" i="67"/>
  <c r="J48" i="67" s="1"/>
  <c r="H23" i="67"/>
  <c r="J23" i="67" s="1"/>
  <c r="H24" i="67"/>
  <c r="J24" i="67" s="1"/>
  <c r="H53" i="67"/>
  <c r="J53" i="67" s="1"/>
  <c r="H65" i="67"/>
  <c r="J65" i="67" s="1"/>
  <c r="H64" i="67"/>
  <c r="J64" i="67" s="1"/>
  <c r="H32" i="67"/>
  <c r="J32" i="67" s="1"/>
  <c r="H63" i="67"/>
  <c r="J63" i="67" s="1"/>
  <c r="H33" i="67"/>
  <c r="H5" i="67"/>
  <c r="D34" i="67"/>
  <c r="J34" i="67" s="1"/>
  <c r="H34" i="67"/>
  <c r="B74" i="67"/>
  <c r="B12" i="70"/>
  <c r="J49" i="67" l="1"/>
  <c r="B19" i="70"/>
  <c r="C20" i="59"/>
  <c r="E56" i="51"/>
  <c r="F38" i="51"/>
  <c r="G38" i="51" s="1"/>
  <c r="G34" i="51"/>
  <c r="K34" i="51"/>
  <c r="K32" i="48"/>
  <c r="L32" i="48" s="1"/>
  <c r="L27" i="48"/>
  <c r="F33" i="67"/>
  <c r="D33" i="67" s="1"/>
  <c r="J33" i="67" s="1"/>
  <c r="B21" i="70"/>
  <c r="K38" i="48"/>
  <c r="L38" i="48" s="1"/>
  <c r="L34" i="48"/>
  <c r="D30" i="57"/>
  <c r="G47" i="50"/>
  <c r="C31" i="42"/>
  <c r="I41" i="47"/>
  <c r="I63" i="47"/>
  <c r="C45" i="42"/>
  <c r="F19" i="37"/>
  <c r="G38" i="48"/>
  <c r="I5" i="49"/>
  <c r="E5" i="49"/>
  <c r="D14" i="49"/>
  <c r="J18" i="67"/>
  <c r="K12" i="51"/>
  <c r="G12" i="51"/>
  <c r="D5" i="59"/>
  <c r="F17" i="51"/>
  <c r="F5" i="67"/>
  <c r="L12" i="48"/>
  <c r="K17" i="48"/>
  <c r="I43" i="22"/>
  <c r="N70" i="47"/>
  <c r="J40" i="22"/>
  <c r="J43" i="22" s="1"/>
  <c r="C21" i="42" s="1"/>
  <c r="F40" i="48"/>
  <c r="G17" i="48"/>
  <c r="B24" i="74"/>
  <c r="B34" i="74" s="1"/>
  <c r="B37" i="74" s="1"/>
  <c r="D38" i="74"/>
  <c r="F22" i="74"/>
  <c r="F24" i="74" s="1"/>
  <c r="G32" i="48"/>
  <c r="G17" i="51" l="1"/>
  <c r="F5" i="59"/>
  <c r="K5" i="59"/>
  <c r="D14" i="59"/>
  <c r="D18" i="59" s="1"/>
  <c r="F18" i="59" s="1"/>
  <c r="G18" i="59" s="1"/>
  <c r="D16" i="49"/>
  <c r="E14" i="49"/>
  <c r="F13" i="37"/>
  <c r="F7" i="37"/>
  <c r="F7" i="67"/>
  <c r="L12" i="51"/>
  <c r="K17" i="51"/>
  <c r="I14" i="49"/>
  <c r="H44" i="70"/>
  <c r="J5" i="49"/>
  <c r="H74" i="67"/>
  <c r="B38" i="70"/>
  <c r="H19" i="70" s="1"/>
  <c r="D24" i="74"/>
  <c r="H76" i="67"/>
  <c r="F34" i="74"/>
  <c r="G27" i="51"/>
  <c r="K27" i="51"/>
  <c r="F32" i="51"/>
  <c r="L17" i="48"/>
  <c r="K40" i="48"/>
  <c r="L40" i="48" s="1"/>
  <c r="C27" i="42"/>
  <c r="G40" i="48"/>
  <c r="F21" i="37"/>
  <c r="J19" i="37"/>
  <c r="C94" i="21"/>
  <c r="J74" i="67"/>
  <c r="J44" i="70" s="1"/>
  <c r="H11" i="47"/>
  <c r="H37" i="47" s="1"/>
  <c r="O72" i="47" s="1"/>
  <c r="D5" i="67"/>
  <c r="J5" i="67" s="1"/>
  <c r="F10" i="67"/>
  <c r="K38" i="51"/>
  <c r="L38" i="51" s="1"/>
  <c r="L34" i="51"/>
  <c r="D62" i="67" l="1"/>
  <c r="K44" i="70"/>
  <c r="J94" i="21"/>
  <c r="C94" i="63"/>
  <c r="O94" i="21" s="1"/>
  <c r="C94" i="62"/>
  <c r="F94" i="21"/>
  <c r="K94" i="21" s="1"/>
  <c r="G32" i="51"/>
  <c r="I16" i="49"/>
  <c r="J14" i="49"/>
  <c r="J16" i="49" s="1"/>
  <c r="N72" i="47"/>
  <c r="H45" i="70"/>
  <c r="M5" i="59"/>
  <c r="H75" i="67"/>
  <c r="K14" i="59"/>
  <c r="J21" i="37"/>
  <c r="K19" i="37"/>
  <c r="L27" i="51"/>
  <c r="F35" i="67"/>
  <c r="D35" i="67" s="1"/>
  <c r="J35" i="67" s="1"/>
  <c r="K32" i="51"/>
  <c r="L32" i="51" s="1"/>
  <c r="L17" i="51"/>
  <c r="G5" i="59"/>
  <c r="F14" i="59"/>
  <c r="G14" i="59" s="1"/>
  <c r="J75" i="67"/>
  <c r="J45" i="70" s="1"/>
  <c r="H12" i="47"/>
  <c r="H38" i="47" s="1"/>
  <c r="O73" i="47" s="1"/>
  <c r="D7" i="67"/>
  <c r="J7" i="67" s="1"/>
  <c r="J10" i="67" s="1"/>
  <c r="C26" i="42"/>
  <c r="D34" i="74"/>
  <c r="F37" i="74"/>
  <c r="H21" i="70"/>
  <c r="H25" i="70"/>
  <c r="H8" i="70"/>
  <c r="H24" i="70"/>
  <c r="H27" i="70"/>
  <c r="H36" i="70"/>
  <c r="H34" i="70"/>
  <c r="H11" i="70"/>
  <c r="H10" i="70"/>
  <c r="J10" i="70" s="1"/>
  <c r="H7" i="70"/>
  <c r="J7" i="70" s="1"/>
  <c r="H30" i="70"/>
  <c r="J30" i="70" s="1"/>
  <c r="H9" i="70"/>
  <c r="H26" i="70"/>
  <c r="H17" i="70"/>
  <c r="J17" i="70" s="1"/>
  <c r="H18" i="70"/>
  <c r="J18" i="70" s="1"/>
  <c r="H32" i="70"/>
  <c r="J32" i="70" s="1"/>
  <c r="H33" i="70"/>
  <c r="J33" i="70" s="1"/>
  <c r="H16" i="70"/>
  <c r="J16" i="70" s="1"/>
  <c r="H31" i="70"/>
  <c r="J31" i="70" s="1"/>
  <c r="H6" i="70"/>
  <c r="H12" i="70"/>
  <c r="H15" i="70"/>
  <c r="C91" i="21"/>
  <c r="F25" i="37"/>
  <c r="D25" i="37" s="1"/>
  <c r="J7" i="37"/>
  <c r="F9" i="37"/>
  <c r="F40" i="51"/>
  <c r="D10" i="67"/>
  <c r="F6" i="70"/>
  <c r="H46" i="70"/>
  <c r="K74" i="67"/>
  <c r="J13" i="37"/>
  <c r="F15" i="37"/>
  <c r="F27" i="37" l="1"/>
  <c r="D27" i="37" s="1"/>
  <c r="K13" i="37"/>
  <c r="J15" i="37"/>
  <c r="C91" i="63"/>
  <c r="C91" i="62"/>
  <c r="F91" i="21"/>
  <c r="K91" i="21" s="1"/>
  <c r="J91" i="21"/>
  <c r="K45" i="70"/>
  <c r="J62" i="67"/>
  <c r="J66" i="67" s="1"/>
  <c r="F62" i="67"/>
  <c r="J94" i="62"/>
  <c r="J111" i="62" s="1"/>
  <c r="F94" i="62"/>
  <c r="K94" i="62" s="1"/>
  <c r="K40" i="51"/>
  <c r="K21" i="37"/>
  <c r="D37" i="74"/>
  <c r="C33" i="42" s="1"/>
  <c r="G40" i="51"/>
  <c r="F47" i="51"/>
  <c r="K7" i="37"/>
  <c r="J25" i="37"/>
  <c r="K25" i="37" s="1"/>
  <c r="J9" i="37"/>
  <c r="J34" i="70"/>
  <c r="K75" i="67"/>
  <c r="J94" i="63"/>
  <c r="J111" i="63" s="1"/>
  <c r="F94" i="63"/>
  <c r="K94" i="63" s="1"/>
  <c r="K18" i="59"/>
  <c r="N73" i="47"/>
  <c r="D6" i="70"/>
  <c r="J6" i="70" s="1"/>
  <c r="N5" i="59"/>
  <c r="M14" i="59"/>
  <c r="N14" i="59" s="1"/>
  <c r="J111" i="21"/>
  <c r="Q94" i="21" l="1"/>
  <c r="D20" i="59"/>
  <c r="G47" i="51"/>
  <c r="J108" i="21"/>
  <c r="J101" i="21"/>
  <c r="J100" i="21"/>
  <c r="J106" i="21"/>
  <c r="J102" i="21"/>
  <c r="J99" i="21"/>
  <c r="J107" i="21"/>
  <c r="F15" i="70"/>
  <c r="J76" i="67"/>
  <c r="F66" i="67"/>
  <c r="D66" i="67" s="1"/>
  <c r="H13" i="47"/>
  <c r="H39" i="47" s="1"/>
  <c r="O74" i="47" s="1"/>
  <c r="F5" i="65"/>
  <c r="J115" i="63"/>
  <c r="K111" i="63"/>
  <c r="M18" i="59"/>
  <c r="N18" i="59" s="1"/>
  <c r="J27" i="37"/>
  <c r="K27" i="37" s="1"/>
  <c r="K9" i="37"/>
  <c r="F91" i="62"/>
  <c r="K91" i="62" s="1"/>
  <c r="J91" i="62"/>
  <c r="J91" i="63"/>
  <c r="F91" i="63"/>
  <c r="K91" i="63" s="1"/>
  <c r="K15" i="37"/>
  <c r="Q111" i="21"/>
  <c r="K111" i="21"/>
  <c r="J115" i="21"/>
  <c r="J115" i="62"/>
  <c r="K111" i="62"/>
  <c r="K47" i="51"/>
  <c r="L40" i="51"/>
  <c r="O91" i="21"/>
  <c r="J102" i="62" l="1"/>
  <c r="J108" i="62"/>
  <c r="J107" i="62"/>
  <c r="J106" i="62"/>
  <c r="J101" i="62"/>
  <c r="J100" i="62"/>
  <c r="J99" i="62"/>
  <c r="K107" i="21"/>
  <c r="C20" i="42"/>
  <c r="J103" i="21"/>
  <c r="H41" i="70"/>
  <c r="K99" i="21"/>
  <c r="J46" i="70"/>
  <c r="K46" i="70" s="1"/>
  <c r="K76" i="67"/>
  <c r="K102" i="21"/>
  <c r="H37" i="73"/>
  <c r="D15" i="70"/>
  <c r="J15" i="70" s="1"/>
  <c r="J19" i="70" s="1"/>
  <c r="F19" i="70"/>
  <c r="D19" i="70" s="1"/>
  <c r="J109" i="21"/>
  <c r="K106" i="21"/>
  <c r="K100" i="21"/>
  <c r="F7" i="65"/>
  <c r="D5" i="65"/>
  <c r="J5" i="65" s="1"/>
  <c r="J7" i="65" s="1"/>
  <c r="K101" i="21"/>
  <c r="H21" i="66"/>
  <c r="K52" i="51"/>
  <c r="L47" i="51"/>
  <c r="L52" i="51" s="1"/>
  <c r="C29" i="42" s="1"/>
  <c r="K20" i="59"/>
  <c r="C28" i="42" s="1"/>
  <c r="K108" i="21"/>
  <c r="J108" i="63"/>
  <c r="J107" i="63"/>
  <c r="J100" i="63"/>
  <c r="J102" i="63"/>
  <c r="Q102" i="21" s="1"/>
  <c r="J101" i="63"/>
  <c r="J99" i="63"/>
  <c r="J106" i="63"/>
  <c r="Q91" i="21"/>
  <c r="F17" i="69" l="1"/>
  <c r="K100" i="63"/>
  <c r="K107" i="63"/>
  <c r="F11" i="69"/>
  <c r="F11" i="72"/>
  <c r="K106" i="63"/>
  <c r="J109" i="63"/>
  <c r="K109" i="63" s="1"/>
  <c r="F52" i="67"/>
  <c r="K100" i="62"/>
  <c r="H32" i="69"/>
  <c r="K99" i="63"/>
  <c r="J103" i="63"/>
  <c r="F5" i="69"/>
  <c r="F39" i="64"/>
  <c r="H50" i="64"/>
  <c r="K101" i="62"/>
  <c r="H22" i="65"/>
  <c r="F15" i="65"/>
  <c r="K101" i="63"/>
  <c r="H44" i="73"/>
  <c r="Q107" i="21"/>
  <c r="F13" i="71"/>
  <c r="K106" i="62"/>
  <c r="H32" i="71"/>
  <c r="J109" i="62"/>
  <c r="K109" i="62" s="1"/>
  <c r="K102" i="63"/>
  <c r="F5" i="72"/>
  <c r="H27" i="72"/>
  <c r="Q106" i="21"/>
  <c r="K107" i="62"/>
  <c r="F21" i="67"/>
  <c r="Q99" i="21"/>
  <c r="K108" i="62"/>
  <c r="F21" i="64"/>
  <c r="K109" i="21"/>
  <c r="Q109" i="21"/>
  <c r="K108" i="63"/>
  <c r="F10" i="65"/>
  <c r="Q108" i="21"/>
  <c r="Q101" i="21"/>
  <c r="F14" i="66"/>
  <c r="D7" i="65"/>
  <c r="Q100" i="21"/>
  <c r="H48" i="70"/>
  <c r="H26" i="66"/>
  <c r="K103" i="21"/>
  <c r="N69" i="47"/>
  <c r="N76" i="47" s="1"/>
  <c r="J114" i="21"/>
  <c r="H71" i="67"/>
  <c r="F31" i="67"/>
  <c r="K99" i="62"/>
  <c r="J103" i="62"/>
  <c r="Q103" i="21" s="1"/>
  <c r="C17" i="42" s="1"/>
  <c r="F12" i="65" l="1"/>
  <c r="D10" i="65"/>
  <c r="J10" i="65" s="1"/>
  <c r="J12" i="65" s="1"/>
  <c r="K22" i="47"/>
  <c r="K27" i="47" s="1"/>
  <c r="M27" i="47" s="1"/>
  <c r="J22" i="65"/>
  <c r="J25" i="65" s="1"/>
  <c r="H39" i="71"/>
  <c r="D14" i="66"/>
  <c r="J14" i="66" s="1"/>
  <c r="D15" i="65"/>
  <c r="J15" i="65" s="1"/>
  <c r="J18" i="65" s="1"/>
  <c r="F18" i="65"/>
  <c r="D52" i="67"/>
  <c r="J52" i="67" s="1"/>
  <c r="J59" i="67" s="1"/>
  <c r="F59" i="67"/>
  <c r="D13" i="71"/>
  <c r="J13" i="71" s="1"/>
  <c r="J20" i="71" s="1"/>
  <c r="J29" i="71" s="1"/>
  <c r="J32" i="71"/>
  <c r="E8" i="47"/>
  <c r="F20" i="71"/>
  <c r="H25" i="65"/>
  <c r="K25" i="65" s="1"/>
  <c r="K22" i="65"/>
  <c r="K103" i="62"/>
  <c r="J114" i="62"/>
  <c r="C19" i="42" s="1"/>
  <c r="H55" i="64"/>
  <c r="F8" i="69"/>
  <c r="D5" i="69"/>
  <c r="J5" i="69" s="1"/>
  <c r="J8" i="69" s="1"/>
  <c r="H22" i="47"/>
  <c r="H27" i="47" s="1"/>
  <c r="J27" i="47" s="1"/>
  <c r="J32" i="69"/>
  <c r="J37" i="69" s="1"/>
  <c r="J50" i="64"/>
  <c r="K8" i="47"/>
  <c r="D21" i="64"/>
  <c r="J21" i="64" s="1"/>
  <c r="J28" i="64" s="1"/>
  <c r="F28" i="64"/>
  <c r="F28" i="67"/>
  <c r="D21" i="67"/>
  <c r="J21" i="67" s="1"/>
  <c r="J28" i="67" s="1"/>
  <c r="H8" i="47"/>
  <c r="J71" i="67"/>
  <c r="D39" i="64"/>
  <c r="J39" i="64" s="1"/>
  <c r="J46" i="64" s="1"/>
  <c r="F46" i="64"/>
  <c r="K103" i="63"/>
  <c r="J114" i="63"/>
  <c r="C18" i="42" s="1"/>
  <c r="F14" i="69"/>
  <c r="D11" i="69"/>
  <c r="J11" i="69" s="1"/>
  <c r="J14" i="69" s="1"/>
  <c r="H32" i="72"/>
  <c r="H78" i="67"/>
  <c r="K71" i="67"/>
  <c r="J27" i="72"/>
  <c r="J32" i="72" s="1"/>
  <c r="K32" i="72" s="1"/>
  <c r="E22" i="47"/>
  <c r="E27" i="47" s="1"/>
  <c r="D5" i="72"/>
  <c r="J5" i="72" s="1"/>
  <c r="J8" i="72" s="1"/>
  <c r="F8" i="72"/>
  <c r="K32" i="69"/>
  <c r="H37" i="69"/>
  <c r="D31" i="67"/>
  <c r="J31" i="67" s="1"/>
  <c r="J38" i="67" s="1"/>
  <c r="F38" i="67"/>
  <c r="F9" i="70" s="1"/>
  <c r="D9" i="70" s="1"/>
  <c r="J9" i="70" s="1"/>
  <c r="F14" i="72"/>
  <c r="D11" i="72"/>
  <c r="J11" i="72" s="1"/>
  <c r="J14" i="72" s="1"/>
  <c r="F20" i="69"/>
  <c r="D17" i="69"/>
  <c r="J17" i="69" s="1"/>
  <c r="J20" i="69" s="1"/>
  <c r="C13" i="42" l="1"/>
  <c r="F8" i="70"/>
  <c r="D28" i="67"/>
  <c r="F68" i="67"/>
  <c r="K34" i="47"/>
  <c r="K41" i="47" s="1"/>
  <c r="M41" i="47" s="1"/>
  <c r="K15" i="47"/>
  <c r="F7" i="73"/>
  <c r="D20" i="71"/>
  <c r="F29" i="71"/>
  <c r="J55" i="64"/>
  <c r="K55" i="64" s="1"/>
  <c r="J21" i="66"/>
  <c r="J29" i="69"/>
  <c r="E15" i="47"/>
  <c r="E34" i="47"/>
  <c r="D8" i="69"/>
  <c r="F24" i="70"/>
  <c r="F29" i="69"/>
  <c r="H64" i="47" s="1"/>
  <c r="J37" i="73"/>
  <c r="J39" i="71"/>
  <c r="K39" i="71" s="1"/>
  <c r="F20" i="73"/>
  <c r="D8" i="72"/>
  <c r="F24" i="72"/>
  <c r="J24" i="72"/>
  <c r="F16" i="66"/>
  <c r="D16" i="66" s="1"/>
  <c r="J16" i="66" s="1"/>
  <c r="D18" i="65"/>
  <c r="H60" i="47"/>
  <c r="G27" i="47"/>
  <c r="E64" i="47"/>
  <c r="J41" i="70"/>
  <c r="J78" i="67"/>
  <c r="K78" i="67" s="1"/>
  <c r="C9" i="42" s="1"/>
  <c r="J20" i="65"/>
  <c r="F25" i="70"/>
  <c r="D25" i="70" s="1"/>
  <c r="J25" i="70" s="1"/>
  <c r="D14" i="69"/>
  <c r="H15" i="47"/>
  <c r="H34" i="47"/>
  <c r="H41" i="47" s="1"/>
  <c r="J41" i="47" s="1"/>
  <c r="D28" i="64"/>
  <c r="F8" i="66"/>
  <c r="F48" i="64"/>
  <c r="F11" i="70"/>
  <c r="D11" i="70" s="1"/>
  <c r="J11" i="70" s="1"/>
  <c r="D59" i="67"/>
  <c r="K32" i="71"/>
  <c r="C6" i="42" s="1"/>
  <c r="F15" i="66"/>
  <c r="D12" i="65"/>
  <c r="F20" i="65"/>
  <c r="K64" i="47" s="1"/>
  <c r="F26" i="70"/>
  <c r="D26" i="70" s="1"/>
  <c r="J26" i="70" s="1"/>
  <c r="D20" i="69"/>
  <c r="F21" i="73"/>
  <c r="D21" i="73" s="1"/>
  <c r="J21" i="73" s="1"/>
  <c r="D14" i="72"/>
  <c r="K27" i="72"/>
  <c r="C7" i="42" s="1"/>
  <c r="F10" i="66"/>
  <c r="D10" i="66" s="1"/>
  <c r="J10" i="66" s="1"/>
  <c r="D46" i="64"/>
  <c r="J68" i="67"/>
  <c r="J48" i="64"/>
  <c r="K37" i="69"/>
  <c r="C10" i="42" s="1"/>
  <c r="K50" i="64"/>
  <c r="C12" i="42" s="1"/>
  <c r="M15" i="47" l="1"/>
  <c r="K63" i="47"/>
  <c r="J48" i="70"/>
  <c r="K48" i="70" s="1"/>
  <c r="K41" i="70"/>
  <c r="J44" i="73"/>
  <c r="K44" i="73" s="1"/>
  <c r="K37" i="73"/>
  <c r="D8" i="66"/>
  <c r="J8" i="66" s="1"/>
  <c r="J11" i="66" s="1"/>
  <c r="F11" i="66"/>
  <c r="D8" i="70"/>
  <c r="J8" i="70" s="1"/>
  <c r="J12" i="70" s="1"/>
  <c r="J21" i="70" s="1"/>
  <c r="F12" i="70"/>
  <c r="D20" i="73"/>
  <c r="J20" i="73" s="1"/>
  <c r="J22" i="73" s="1"/>
  <c r="J32" i="73" s="1"/>
  <c r="F22" i="73"/>
  <c r="O69" i="47"/>
  <c r="O76" i="47" s="1"/>
  <c r="E41" i="47"/>
  <c r="J26" i="66"/>
  <c r="K26" i="66" s="1"/>
  <c r="K21" i="66"/>
  <c r="D24" i="70"/>
  <c r="J24" i="70" s="1"/>
  <c r="J27" i="70" s="1"/>
  <c r="J36" i="70" s="1"/>
  <c r="J38" i="70" s="1"/>
  <c r="F27" i="70"/>
  <c r="E60" i="47"/>
  <c r="K60" i="47" s="1"/>
  <c r="E63" i="47"/>
  <c r="G15" i="47"/>
  <c r="D15" i="66"/>
  <c r="J15" i="66" s="1"/>
  <c r="J17" i="66" s="1"/>
  <c r="F17" i="66"/>
  <c r="D17" i="66" s="1"/>
  <c r="J15" i="47"/>
  <c r="H63" i="47"/>
  <c r="F8" i="73"/>
  <c r="D7" i="73"/>
  <c r="J7" i="73" s="1"/>
  <c r="J8" i="73" s="1"/>
  <c r="J17" i="73" s="1"/>
  <c r="C11" i="42" l="1"/>
  <c r="C8" i="42"/>
  <c r="D8" i="73"/>
  <c r="F17" i="73"/>
  <c r="D12" i="70"/>
  <c r="F21" i="70"/>
  <c r="I69" i="47"/>
  <c r="I74" i="47" s="1"/>
  <c r="G41" i="47"/>
  <c r="D11" i="66"/>
  <c r="F19" i="66"/>
  <c r="D22" i="73"/>
  <c r="F32" i="73"/>
  <c r="D32" i="73" s="1"/>
  <c r="J19" i="66"/>
  <c r="C5" i="42"/>
  <c r="J34" i="73"/>
  <c r="D27" i="70"/>
  <c r="F36" i="70"/>
  <c r="D36" i="70" s="1"/>
  <c r="D21" i="70" l="1"/>
  <c r="F38" i="70"/>
  <c r="D17" i="73"/>
  <c r="F34" i="73"/>
  <c r="H69" i="47" s="1"/>
  <c r="H74" i="47" l="1"/>
  <c r="J74" i="47" s="1"/>
  <c r="J69" i="47"/>
  <c r="C4" i="42" l="1"/>
  <c r="C48" i="4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F50" authorId="0" shapeId="0" xr:uid="{00000000-0006-0000-0100-000001000000}">
      <text>
        <r>
          <rPr>
            <b/>
            <sz val="8"/>
            <color indexed="81"/>
            <rFont val="Tahoma"/>
            <family val="2"/>
          </rPr>
          <t>stcutting:</t>
        </r>
        <r>
          <rPr>
            <sz val="8"/>
            <color indexed="81"/>
            <rFont val="Tahoma"/>
            <family val="2"/>
          </rPr>
          <t xml:space="preserve">
All ACS pieces go through the CIOSS.  Some are finalized in the AFR without needing REC keying.  Some are rejected from the CIOSS and must go to CFS.</t>
        </r>
      </text>
    </comment>
    <comment ref="F51" authorId="0" shapeId="0" xr:uid="{00000000-0006-0000-0100-000002000000}">
      <text>
        <r>
          <rPr>
            <b/>
            <sz val="8"/>
            <color indexed="81"/>
            <rFont val="Tahoma"/>
            <family val="2"/>
          </rPr>
          <t>stcutting:</t>
        </r>
        <r>
          <rPr>
            <sz val="8"/>
            <color indexed="81"/>
            <rFont val="Tahoma"/>
            <family val="2"/>
          </rPr>
          <t xml:space="preserve">
ditto</t>
        </r>
      </text>
    </comment>
    <comment ref="I52" authorId="0" shapeId="0" xr:uid="{00000000-0006-0000-0100-000003000000}">
      <text>
        <r>
          <rPr>
            <b/>
            <sz val="8"/>
            <color indexed="81"/>
            <rFont val="Tahoma"/>
            <family val="2"/>
          </rPr>
          <t>stcutting:</t>
        </r>
        <r>
          <rPr>
            <sz val="8"/>
            <color indexed="81"/>
            <rFont val="Tahoma"/>
            <family val="2"/>
          </rPr>
          <t xml:space="preserve">
not counted in total volume.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A6" authorId="0" shapeId="0" xr:uid="{00000000-0006-0000-0F00-000001000000}">
      <text>
        <r>
          <rPr>
            <b/>
            <sz val="8"/>
            <color indexed="81"/>
            <rFont val="Tahoma"/>
            <family val="2"/>
          </rPr>
          <t>stcutting:</t>
        </r>
        <r>
          <rPr>
            <sz val="8"/>
            <color indexed="81"/>
            <rFont val="Tahoma"/>
            <family val="2"/>
          </rPr>
          <t xml:space="preserve">
Includes RTS mail mistakenly put in UBBM tub and later retrieved by Nixie clerk.</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A6" authorId="0" shapeId="0" xr:uid="{00000000-0006-0000-1000-000001000000}">
      <text>
        <r>
          <rPr>
            <b/>
            <sz val="8"/>
            <color indexed="81"/>
            <rFont val="Tahoma"/>
            <family val="2"/>
          </rPr>
          <t>stcutting:</t>
        </r>
        <r>
          <rPr>
            <sz val="8"/>
            <color indexed="81"/>
            <rFont val="Tahoma"/>
            <family val="2"/>
          </rPr>
          <t xml:space="preserve">
Includes RTS mail mistakenly put in UBBM tub and later retrieved by Nixie clerk.</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A16" authorId="0" shapeId="0" xr:uid="{00000000-0006-0000-1200-000001000000}">
      <text>
        <r>
          <rPr>
            <b/>
            <sz val="8"/>
            <color indexed="81"/>
            <rFont val="Tahoma"/>
            <family val="2"/>
          </rPr>
          <t>stcutting:</t>
        </r>
        <r>
          <rPr>
            <sz val="8"/>
            <color indexed="81"/>
            <rFont val="Tahoma"/>
            <family val="2"/>
          </rPr>
          <t xml:space="preserve">
Postage due activities subtracted out.</t>
        </r>
      </text>
    </comment>
    <comment ref="A24" authorId="0" shapeId="0" xr:uid="{00000000-0006-0000-1200-000002000000}">
      <text>
        <r>
          <rPr>
            <b/>
            <sz val="8"/>
            <color indexed="81"/>
            <rFont val="Tahoma"/>
            <family val="2"/>
          </rPr>
          <t>stcutting:</t>
        </r>
        <r>
          <rPr>
            <sz val="8"/>
            <color indexed="81"/>
            <rFont val="Tahoma"/>
            <family val="2"/>
          </rPr>
          <t xml:space="preserve">
Postage due activities subtracted out.</t>
        </r>
      </text>
    </comment>
    <comment ref="A25" authorId="0" shapeId="0" xr:uid="{00000000-0006-0000-1200-000003000000}">
      <text>
        <r>
          <rPr>
            <b/>
            <sz val="8"/>
            <color indexed="81"/>
            <rFont val="Tahoma"/>
            <family val="2"/>
          </rPr>
          <t>stcutting:</t>
        </r>
        <r>
          <rPr>
            <sz val="8"/>
            <color indexed="81"/>
            <rFont val="Tahoma"/>
            <family val="2"/>
          </rPr>
          <t xml:space="preserve">
Postage due activities subtracted out.</t>
        </r>
      </text>
    </comment>
    <comment ref="A33" authorId="0" shapeId="0" xr:uid="{00000000-0006-0000-1200-000004000000}">
      <text>
        <r>
          <rPr>
            <b/>
            <sz val="8"/>
            <color indexed="81"/>
            <rFont val="Tahoma"/>
            <family val="2"/>
          </rPr>
          <t>stcutting:</t>
        </r>
        <r>
          <rPr>
            <sz val="8"/>
            <color indexed="81"/>
            <rFont val="Tahoma"/>
            <family val="2"/>
          </rPr>
          <t xml:space="preserve">
Includes INT old COA, CIR COA, and CIR Bad Add.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G8" authorId="0" shapeId="0" xr:uid="{00000000-0006-0000-1A00-000001000000}">
      <text>
        <r>
          <rPr>
            <b/>
            <sz val="8"/>
            <color indexed="81"/>
            <rFont val="Tahoma"/>
            <family val="2"/>
          </rPr>
          <t>stcutting:</t>
        </r>
        <r>
          <rPr>
            <sz val="8"/>
            <color indexed="81"/>
            <rFont val="Tahoma"/>
            <family val="2"/>
          </rPr>
          <t xml:space="preserve">
Non-ACS keying of ACS pieces is cheaper than non-ACS keying of non-ACS pieces because only a subset of ACS pieces in column E require non-ACS keying.  The non-ACS productivity for ACS pieces has been adjusted to account for this.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19" authorId="0" shapeId="0" xr:uid="{00000000-0006-0000-2500-000001000000}">
      <text>
        <r>
          <rPr>
            <b/>
            <sz val="8"/>
            <color indexed="81"/>
            <rFont val="Tahoma"/>
            <family val="2"/>
          </rPr>
          <t>stcutting:</t>
        </r>
        <r>
          <rPr>
            <sz val="8"/>
            <color indexed="81"/>
            <rFont val="Tahoma"/>
            <family val="2"/>
          </rPr>
          <t xml:space="preserve">
linked to CFS dist to capture change in volume.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9" authorId="0" shapeId="0" xr:uid="{00000000-0006-0000-0300-000001000000}">
      <text>
        <r>
          <rPr>
            <b/>
            <sz val="8"/>
            <color indexed="81"/>
            <rFont val="Tahoma"/>
            <family val="2"/>
          </rPr>
          <t>stcutting:</t>
        </r>
        <r>
          <rPr>
            <sz val="8"/>
            <color indexed="81"/>
            <rFont val="Tahoma"/>
            <family val="2"/>
          </rPr>
          <t xml:space="preserve">
It is necessary to subtract out CIF forwards.</t>
        </r>
      </text>
    </comment>
    <comment ref="B19" authorId="0" shapeId="0" xr:uid="{00000000-0006-0000-0300-000002000000}">
      <text>
        <r>
          <rPr>
            <b/>
            <sz val="8"/>
            <color indexed="81"/>
            <rFont val="Tahoma"/>
            <family val="2"/>
          </rPr>
          <t>stcutting:</t>
        </r>
        <r>
          <rPr>
            <sz val="8"/>
            <color indexed="81"/>
            <rFont val="Tahoma"/>
            <family val="2"/>
          </rPr>
          <t xml:space="preserve">
It is necessary to subtract out INT Fwds.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9" authorId="0" shapeId="0" xr:uid="{00000000-0006-0000-0600-000001000000}">
      <text>
        <r>
          <rPr>
            <b/>
            <sz val="8"/>
            <color indexed="81"/>
            <rFont val="Tahoma"/>
            <family val="2"/>
          </rPr>
          <t>stcutting:</t>
        </r>
        <r>
          <rPr>
            <sz val="8"/>
            <color indexed="81"/>
            <rFont val="Tahoma"/>
            <family val="2"/>
          </rPr>
          <t xml:space="preserve">
It is necessary to subtract out  mail that is CIR (both old COA and BadAdd CIR).</t>
        </r>
      </text>
    </comment>
    <comment ref="B17" authorId="0" shapeId="0" xr:uid="{00000000-0006-0000-0600-000002000000}">
      <text>
        <r>
          <rPr>
            <b/>
            <sz val="8"/>
            <color indexed="81"/>
            <rFont val="Tahoma"/>
            <family val="2"/>
          </rPr>
          <t>stcutting:</t>
        </r>
        <r>
          <rPr>
            <sz val="8"/>
            <color indexed="81"/>
            <rFont val="Tahoma"/>
            <family val="2"/>
          </rPr>
          <t xml:space="preserve">
It is necessary to subtract out CIF RTS.</t>
        </r>
      </text>
    </comment>
    <comment ref="B27" authorId="0" shapeId="0" xr:uid="{00000000-0006-0000-0600-000003000000}">
      <text>
        <r>
          <rPr>
            <b/>
            <sz val="8"/>
            <color indexed="81"/>
            <rFont val="Tahoma"/>
            <family val="2"/>
          </rPr>
          <t>stcutting:</t>
        </r>
        <r>
          <rPr>
            <sz val="8"/>
            <color indexed="81"/>
            <rFont val="Tahoma"/>
            <family val="2"/>
          </rPr>
          <t xml:space="preserve">
It is necessary to subtract out INT RTS.</t>
        </r>
      </text>
    </comment>
    <comment ref="B37" authorId="0" shapeId="0" xr:uid="{00000000-0006-0000-0600-000004000000}">
      <text>
        <r>
          <rPr>
            <b/>
            <sz val="8"/>
            <color indexed="81"/>
            <rFont val="Tahoma"/>
            <family val="2"/>
          </rPr>
          <t>stcutting:</t>
        </r>
        <r>
          <rPr>
            <sz val="8"/>
            <color indexed="81"/>
            <rFont val="Tahoma"/>
            <family val="2"/>
          </rPr>
          <t xml:space="preserve">
It is necessary to subtract out mail that is INT old COA.</t>
        </r>
      </text>
    </comment>
    <comment ref="B48" authorId="0" shapeId="0" xr:uid="{00000000-0006-0000-0600-000005000000}">
      <text>
        <r>
          <rPr>
            <b/>
            <sz val="8"/>
            <color indexed="81"/>
            <rFont val="Tahoma"/>
            <family val="2"/>
          </rPr>
          <t>stcutting:</t>
        </r>
        <r>
          <rPr>
            <sz val="8"/>
            <color indexed="81"/>
            <rFont val="Tahoma"/>
            <family val="2"/>
          </rPr>
          <t xml:space="preserve">
It is necessary to subtract out CIF RTS.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7" authorId="0" shapeId="0" xr:uid="{00000000-0006-0000-0700-000001000000}">
      <text>
        <r>
          <rPr>
            <b/>
            <sz val="8"/>
            <color indexed="81"/>
            <rFont val="Tahoma"/>
            <family val="2"/>
          </rPr>
          <t>stcutting:</t>
        </r>
        <r>
          <rPr>
            <sz val="8"/>
            <color indexed="81"/>
            <rFont val="Tahoma"/>
            <family val="2"/>
          </rPr>
          <t xml:space="preserve">
This value is lower than the pre-PARS value of 30,xxx because (1) some FOE RTS pieces are intercepted at the plant and require no manual pd rating, (2) some CIR RTS pieces require no manual pd rating in the nixie unit.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17" authorId="0" shapeId="0" xr:uid="{00000000-0006-0000-0900-000001000000}">
      <text>
        <r>
          <rPr>
            <b/>
            <sz val="8"/>
            <color indexed="81"/>
            <rFont val="Tahoma"/>
            <family val="2"/>
          </rPr>
          <t>stcutting:</t>
        </r>
        <r>
          <rPr>
            <sz val="8"/>
            <color indexed="81"/>
            <rFont val="Tahoma"/>
            <family val="2"/>
          </rPr>
          <t xml:space="preserve">
It is necessary to subtract out CIF waste.</t>
        </r>
      </text>
    </comment>
    <comment ref="B27" authorId="0" shapeId="0" xr:uid="{00000000-0006-0000-0900-000002000000}">
      <text>
        <r>
          <rPr>
            <b/>
            <sz val="8"/>
            <color indexed="81"/>
            <rFont val="Tahoma"/>
            <family val="2"/>
          </rPr>
          <t>stcutting:</t>
        </r>
        <r>
          <rPr>
            <sz val="8"/>
            <color indexed="81"/>
            <rFont val="Tahoma"/>
            <family val="2"/>
          </rPr>
          <t xml:space="preserve">
It is necessary to subtract out INT waste.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B5" authorId="0" shapeId="0" xr:uid="{00000000-0006-0000-0A00-000001000000}">
      <text>
        <r>
          <rPr>
            <b/>
            <sz val="8"/>
            <color indexed="81"/>
            <rFont val="Tahoma"/>
            <family val="2"/>
          </rPr>
          <t>stcutting:</t>
        </r>
        <r>
          <rPr>
            <sz val="8"/>
            <color indexed="81"/>
            <rFont val="Tahoma"/>
            <family val="2"/>
          </rPr>
          <t xml:space="preserve">
Carrier-identified non-forwardable waste is included in  PARS route table but is categorized here as non-PARS since these pieces never make it to the CIOSS for processing.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J5" authorId="0" shapeId="0" xr:uid="{00000000-0006-0000-0B00-000001000000}">
      <text>
        <r>
          <rPr>
            <b/>
            <sz val="8"/>
            <color indexed="81"/>
            <rFont val="Tahoma"/>
            <family val="2"/>
          </rPr>
          <t>stcutting:</t>
        </r>
        <r>
          <rPr>
            <sz val="8"/>
            <color indexed="81"/>
            <rFont val="Tahoma"/>
            <family val="2"/>
          </rPr>
          <t xml:space="preserve">
Forms generated on CIOSS have a one-to-one form-to -envelope factor.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C6" authorId="0" shapeId="0" xr:uid="{00000000-0006-0000-0D00-000001000000}">
      <text>
        <r>
          <rPr>
            <b/>
            <sz val="8"/>
            <color indexed="81"/>
            <rFont val="Tahoma"/>
            <family val="2"/>
          </rPr>
          <t>stcutting:</t>
        </r>
        <r>
          <rPr>
            <sz val="8"/>
            <color indexed="81"/>
            <rFont val="Tahoma"/>
            <family val="2"/>
          </rPr>
          <t xml:space="preserve">
Handing out forms, helping to complete forms.</t>
        </r>
      </text>
    </comment>
    <comment ref="D67" authorId="0" shapeId="0" xr:uid="{00000000-0006-0000-0D00-000002000000}">
      <text>
        <r>
          <rPr>
            <b/>
            <sz val="8"/>
            <color indexed="81"/>
            <rFont val="Tahoma"/>
            <family val="2"/>
          </rPr>
          <t>stcutting:</t>
        </r>
        <r>
          <rPr>
            <sz val="8"/>
            <color indexed="81"/>
            <rFont val="Tahoma"/>
            <family val="2"/>
          </rPr>
          <t xml:space="preserve">
These volumes do not contribute to the COA total.  They are already included above.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stcutting</author>
  </authors>
  <commentList>
    <comment ref="A6" authorId="0" shapeId="0" xr:uid="{00000000-0006-0000-0E00-000001000000}">
      <text>
        <r>
          <rPr>
            <b/>
            <sz val="8"/>
            <color indexed="81"/>
            <rFont val="Tahoma"/>
            <family val="2"/>
          </rPr>
          <t>stcutting:</t>
        </r>
        <r>
          <rPr>
            <sz val="8"/>
            <color indexed="81"/>
            <rFont val="Tahoma"/>
            <family val="2"/>
          </rPr>
          <t xml:space="preserve">
Includes RTS mail mistakenly put in UBBM tub and later retrieved by Nixie clerk.</t>
        </r>
      </text>
    </comment>
  </commentList>
</comments>
</file>

<file path=xl/sharedStrings.xml><?xml version="1.0" encoding="utf-8"?>
<sst xmlns="http://schemas.openxmlformats.org/spreadsheetml/2006/main" count="3280" uniqueCount="824">
  <si>
    <t>(7) ACS stands for "Address Change Service," the electronic notice address correction system.</t>
  </si>
  <si>
    <t>(8) Mechanized terminals are not operational in the PARS environment.</t>
  </si>
  <si>
    <t>Non-ACS (4)</t>
  </si>
  <si>
    <t>ACS COA (4)</t>
  </si>
  <si>
    <t>ACS Nixie (4)</t>
  </si>
  <si>
    <t>(4) ACS stands for "Address Change Service," the electronic notice address correction system.</t>
  </si>
  <si>
    <t>Moved, Old COA (5)</t>
  </si>
  <si>
    <t>(5) Mail with an old forwarding order (COA age between 13 and 18 months).</t>
  </si>
  <si>
    <t>(7) Mail associated with an active COA or old COA that is identified by a carrier.</t>
  </si>
  <si>
    <t>(6) Under the One Code ACS system, all ACS letters not rejected from the CIOSS are AFR finalized.</t>
  </si>
  <si>
    <t>Volume Weighted Cost for Manual Notices</t>
  </si>
  <si>
    <t xml:space="preserve">      CIOSS/NCSC forms have a lower unit cost due to presorting.</t>
  </si>
  <si>
    <t>Plant-Intercepted Old COA RTS</t>
  </si>
  <si>
    <t>(2) Developed from FCS database 04,  Appendix C, USPS-LR-L-61.</t>
  </si>
  <si>
    <t>Table 3.25 -  Summary of Costs for REC Site Activities, Machinable UAA Letters and COA Cards</t>
  </si>
  <si>
    <t>(5) ACS nixie mail that is intercepted at the plant (old COA only) and returned.</t>
  </si>
  <si>
    <t>(18) Refer to Table 7.21 after subtracting out carrier-identified ACS nixie returned mail.</t>
  </si>
  <si>
    <t>(6) ACS nixie mail that is identified by carriers at the original delivery unit as being RTS.</t>
  </si>
  <si>
    <t>Table 3.6 - Cost of Returned-to-Sender UAA Mail, PARS Pieces -- Part 1</t>
  </si>
  <si>
    <t>Table 3.6 - Cost of Returned-to-Sender UAA Mail, PARS Pieces -- Part 2</t>
  </si>
  <si>
    <t>Table 3.17 - Cost of Processing No-Record Mail</t>
  </si>
  <si>
    <t>(3) Reported costs include savings for the obsolete automation portion of the RTS program (OCR/BCS, LMLM, prep, and endorsement).</t>
  </si>
  <si>
    <t>(6) Refer to Table 3.31.</t>
  </si>
  <si>
    <t>(3) Refer to Table 3.42 and 3.43.</t>
  </si>
  <si>
    <t>(9) Reported costs include savings for the obsolete automation portion of the RTS program (REC image keying).</t>
  </si>
  <si>
    <t>(4) Reported costs include savings for the obsolete automation portion of the RTS program (REC image keying).</t>
  </si>
  <si>
    <t>(9) Reported costs include savings for the obsolete automation portion of the RTS program (OCR/BCS, LMLM, prep, and endorsement).</t>
  </si>
  <si>
    <t>(8) UAA non-PARS mail wasted based on USPS UAA regs.  Refer to Table 3.10.</t>
  </si>
  <si>
    <t>(10) For PARS pieces, refer to Table 3.19 (CFS Cost), Table 3.25 (REC Cost), and</t>
  </si>
  <si>
    <t xml:space="preserve">       Table 3.23 (CIOSS Volumes).  For non-PARS pieces, refer to Table 3.19.</t>
  </si>
  <si>
    <t>(19) Refer to Table 7.21 after subtracting out plant-intercepted ACS nixie returned mail.</t>
  </si>
  <si>
    <t>(4) ACS nixie mail that is intercepted at the plant (old COA mail only) and wasted.</t>
  </si>
  <si>
    <t>(5) ACS nixie mail that is identified by carriers at the original delivery unit as being waste.</t>
  </si>
  <si>
    <t>(15) Refer to Table 7.21 after subtracting out carrier-identified ACS nixie waste mail.</t>
  </si>
  <si>
    <t>(16) Refer to Table 7.21 after subtracting plant-intercepted ACS nixie waste mail.</t>
  </si>
  <si>
    <t>(3) Address Change Service (ACS) mail sent to the nixie unit and then to the CFS unit.</t>
  </si>
  <si>
    <t>(2) Refer to Table 3.27.</t>
  </si>
  <si>
    <t>(4)  Volume based on Table 3.29 after subtracting out PARS non-machinable letters.</t>
  </si>
  <si>
    <t>(5) Mail associated with a COA that is identified by a carrier.</t>
  </si>
  <si>
    <r>
      <t xml:space="preserve">ACS Keying Cost
</t>
    </r>
    <r>
      <rPr>
        <u/>
        <sz val="10"/>
        <rFont val="Arial"/>
        <family val="2"/>
      </rPr>
      <t>(000s) (2)</t>
    </r>
  </si>
  <si>
    <r>
      <t xml:space="preserve">Non-ACS Keying Cost
</t>
    </r>
    <r>
      <rPr>
        <u/>
        <sz val="10"/>
        <rFont val="Arial"/>
        <family val="2"/>
      </rPr>
      <t>(000s)</t>
    </r>
  </si>
  <si>
    <r>
      <t xml:space="preserve">ACS Keying Cost
</t>
    </r>
    <r>
      <rPr>
        <u/>
        <sz val="10"/>
        <rFont val="Arial"/>
        <family val="2"/>
      </rPr>
      <t>(000s)</t>
    </r>
  </si>
  <si>
    <t>(5) ACS stands for "Address Change Service," the electronic notice address correction system.</t>
  </si>
  <si>
    <t>(17) Excludes Address Change Service (ACS) keying.</t>
  </si>
  <si>
    <t>(25) Excludes Address Change Service (ACS) keying.</t>
  </si>
  <si>
    <t>(6) Nixie clerk handling of ACS nixie mail is excluded.  Refer to Table 7.18.</t>
  </si>
  <si>
    <t>Keying (5)</t>
  </si>
  <si>
    <t>(12) Refer to Table 3.11 and 3.12.</t>
  </si>
  <si>
    <t>Moved, old COA (5)</t>
  </si>
  <si>
    <t>Moved, old COA (3)</t>
  </si>
  <si>
    <t>(3) Mail with an old forwarding order (COA age between 13 and 18 months).</t>
  </si>
  <si>
    <t>ACS Nixie Pieces (8)</t>
  </si>
  <si>
    <t>ACS COA Mail Pieces (8)</t>
  </si>
  <si>
    <t>(8) ACS stands for "Address Change Service."</t>
  </si>
  <si>
    <t>Table 3.23 -  Summary of Costs for CIOSS Activities, Machinable UAA Letters</t>
  </si>
  <si>
    <t>Table 3.15 - Cost of UAA at the Delivery Unit Route, Non-PARS Pieces (Parts 2 and 3)</t>
  </si>
  <si>
    <t>Table 3.15 - Cost of UAA at the Delivery Unit Route, Non-PARS Pieces (Parts 4 &amp; 5)</t>
  </si>
  <si>
    <t>Table 3.16 - Cost of UAA at the Originating Delivery Unit Route, PARS Pieces (Part 1)</t>
  </si>
  <si>
    <t>Table 3.16 - Cost of UAA at the Delivery Unit Route, PARS Pieces (Parts 2 and 3)</t>
  </si>
  <si>
    <t>Table 3.16 - Cost of UAA at the Delivery Unit Route, PARS Pieces (Parts 4 &amp; 5)</t>
  </si>
  <si>
    <t>pieces never flow back to the plant for CIOSS processing, their cost is attributed to non-PARS pieces.</t>
  </si>
  <si>
    <t>(5)  Machinable letter that are non-forwardable but not intercepted at the plant are categorized as PARS pieces.  However, since these</t>
  </si>
  <si>
    <t>Table 3.14 - Cost of UAA at the Originating Delivery Unit Route, All Pieces (Part 1)</t>
  </si>
  <si>
    <t>Table 3.14 - Cost of UAA at the Delivery Unit Route, All Pieces (Parts 2 and 3)</t>
  </si>
  <si>
    <t>Table 3.14 - Cost of UAA at the Delivery Unit Route, All Pieces (Parts 4 &amp; 5)</t>
  </si>
  <si>
    <t>(1) COA mail that is intercepted at the plant and forwarded.</t>
  </si>
  <si>
    <t>(2) COA mail that is intercepted at the plant and returned.</t>
  </si>
  <si>
    <t>(1) Non-forwardable COA mail that is intercepted at the plant and wasted.</t>
  </si>
  <si>
    <t>(2) COA mail that is intercepted at the plant and wasted.</t>
  </si>
  <si>
    <t>(3) COA mail that is identified by carriers at the original delivery unit as being waste.</t>
  </si>
  <si>
    <t>(6) Refer to Table 3.24.</t>
  </si>
  <si>
    <t>(8) Refer to Table 3.18.</t>
  </si>
  <si>
    <t>(9) Refer to Table 3.26.</t>
  </si>
  <si>
    <t>(10) Refer to Table 3.21 after subtracting out carrier-identified wasted mail.</t>
  </si>
  <si>
    <t>(12) Refer to Table 3.16.</t>
  </si>
  <si>
    <t>(13) Refer to Table 3.18.</t>
  </si>
  <si>
    <t>(14) Refer to Table 3.21 after subtracting out plant-intercepted wasted mail.</t>
  </si>
  <si>
    <t>(10) Refer to Table 3.18 after subtracting out carrier-identified nixie returned mail.</t>
  </si>
  <si>
    <t>(16) Refer to Table 3.21 after subtracting out plant-intercepted returned COA mail.</t>
  </si>
  <si>
    <t>(13) Refer to Table 3.21 after subtracting out carrier-identified returned COA mail.</t>
  </si>
  <si>
    <t>Delivery Unit Waste (1)</t>
  </si>
  <si>
    <t>CFS Unit COA Mail Waste (2)</t>
  </si>
  <si>
    <t>CFS Unit ACS Nixie Waste (3)</t>
  </si>
  <si>
    <t>(1) Mail that is wasted at the delivery unit.</t>
  </si>
  <si>
    <t>(2) Mail directly sent to CFS unit which is then wasted.</t>
  </si>
  <si>
    <t>(4) Refer to Table 3.15 and 3.16.</t>
  </si>
  <si>
    <t>(6) Refer to Table 3.15.</t>
  </si>
  <si>
    <t>Table 3.11 - Cost of Form 3547: Part 3 - All Forms</t>
  </si>
  <si>
    <t>(5) Refer to Table 3.38.</t>
  </si>
  <si>
    <t>Table 3.13 - Costs of Processing COA Cards (Form 3575, 3575Z, and 3546): Part 2 - Processing Modified/Deleted COAs</t>
  </si>
  <si>
    <t>Table 3.13 - Costs of Processing COA Cards (Form 3575, 3575Z, and 3546): Part 3 - REC Site Processing</t>
  </si>
  <si>
    <t>(4) Refer to Table 3.17.</t>
  </si>
  <si>
    <t>(1) Refer to Table 3.19.</t>
  </si>
  <si>
    <t>(4) Refer to Table 3.21.</t>
  </si>
  <si>
    <t>(3) Refer to Table 3.26.</t>
  </si>
  <si>
    <t>AFR Finalization</t>
  </si>
  <si>
    <t>CFS Processing</t>
  </si>
  <si>
    <t>Frequency</t>
  </si>
  <si>
    <t>Originating Postage Due Unit</t>
  </si>
  <si>
    <t>Destinating Accountable Mail Unit</t>
  </si>
  <si>
    <t>Collection Postage Due - Carrier</t>
  </si>
  <si>
    <t>Prepare and Mail Form 3546</t>
  </si>
  <si>
    <t>Total</t>
  </si>
  <si>
    <t>Volume</t>
  </si>
  <si>
    <t>Cost/Piece</t>
  </si>
  <si>
    <r>
      <t xml:space="preserve">Cost </t>
    </r>
    <r>
      <rPr>
        <u/>
        <sz val="10"/>
        <rFont val="Arial"/>
        <family val="2"/>
      </rPr>
      <t>Contribution</t>
    </r>
  </si>
  <si>
    <t>n/a</t>
  </si>
  <si>
    <t>HWY Contract</t>
  </si>
  <si>
    <t>ACS Nixie Processing</t>
  </si>
  <si>
    <r>
      <t>Volume</t>
    </r>
    <r>
      <rPr>
        <u/>
        <sz val="10"/>
        <rFont val="Arial"/>
        <family val="2"/>
      </rPr>
      <t xml:space="preserve"> (000s)</t>
    </r>
  </si>
  <si>
    <r>
      <t xml:space="preserve">Total Cost </t>
    </r>
    <r>
      <rPr>
        <u/>
        <sz val="10"/>
        <rFont val="Arial"/>
        <family val="2"/>
      </rPr>
      <t>(000s)</t>
    </r>
  </si>
  <si>
    <t>Form 3547 ave. batch size</t>
  </si>
  <si>
    <t>Form 3579 ave. batch size</t>
  </si>
  <si>
    <t>Form 3547 Distribution by category</t>
  </si>
  <si>
    <t>Photo and Treat as Waste</t>
  </si>
  <si>
    <t>Total Form 3547 Volume</t>
  </si>
  <si>
    <t>Total Form 3579 Volume</t>
  </si>
  <si>
    <t>Weighted</t>
  </si>
  <si>
    <t>Cost per piece</t>
  </si>
  <si>
    <t>Form 3547</t>
  </si>
  <si>
    <t>Photo and Forward</t>
  </si>
  <si>
    <t>Mailstream</t>
  </si>
  <si>
    <t>Accountable Mail Clerk</t>
  </si>
  <si>
    <t>Carrier Delivery/Collection of Postage Due</t>
  </si>
  <si>
    <t>On-Piece Corrections</t>
  </si>
  <si>
    <t>Total Form 3547</t>
  </si>
  <si>
    <t>Form 3579</t>
  </si>
  <si>
    <t>Total 3579</t>
  </si>
  <si>
    <t xml:space="preserve">Total </t>
  </si>
  <si>
    <t>ACS COA Notification</t>
  </si>
  <si>
    <t>Mechanized Terminal</t>
  </si>
  <si>
    <t>% of ACS</t>
  </si>
  <si>
    <t>TOTAL COST PER PIECE</t>
  </si>
  <si>
    <r>
      <t xml:space="preserve">Total </t>
    </r>
    <r>
      <rPr>
        <u/>
        <sz val="10"/>
        <rFont val="Arial"/>
        <family val="2"/>
      </rPr>
      <t>Cost/Piece</t>
    </r>
  </si>
  <si>
    <r>
      <t>Total</t>
    </r>
    <r>
      <rPr>
        <u/>
        <sz val="10"/>
        <rFont val="Arial"/>
        <family val="2"/>
      </rPr>
      <t xml:space="preserve"> Cost/Piece</t>
    </r>
  </si>
  <si>
    <t>City Carriers</t>
  </si>
  <si>
    <t>Rural Carriers</t>
  </si>
  <si>
    <t>PO Boxes</t>
  </si>
  <si>
    <t>Delivery Unit</t>
  </si>
  <si>
    <t>Weight</t>
  </si>
  <si>
    <r>
      <t xml:space="preserve">Actual Cost </t>
    </r>
    <r>
      <rPr>
        <u/>
        <sz val="10"/>
        <rFont val="Arial"/>
        <family val="2"/>
      </rPr>
      <t>Per Piece</t>
    </r>
  </si>
  <si>
    <t>1. CFS</t>
  </si>
  <si>
    <t>2. Mailstream</t>
  </si>
  <si>
    <t>3. Accountable Mail Clerk</t>
  </si>
  <si>
    <t>4. Carrier Delivery/Collection of Postage Due</t>
  </si>
  <si>
    <t>Total - Photo and Waste</t>
  </si>
  <si>
    <t>Total - Photo and Forward</t>
  </si>
  <si>
    <t>Letters</t>
  </si>
  <si>
    <t>Flats</t>
  </si>
  <si>
    <t>Parcels</t>
  </si>
  <si>
    <t>Total Delivery Unit Forward</t>
  </si>
  <si>
    <t>Total Delivery Unit RTS</t>
  </si>
  <si>
    <t>Accept and Clear</t>
  </si>
  <si>
    <t>Prepare and Distribute</t>
  </si>
  <si>
    <t>Collection of Postage Due</t>
  </si>
  <si>
    <t>Postage Due Mail Forwarded</t>
  </si>
  <si>
    <t>Sign For and Clear Accountable Items</t>
  </si>
  <si>
    <t>Postage Due/Address Correction Mail Returned</t>
  </si>
  <si>
    <r>
      <t xml:space="preserve">Weighted </t>
    </r>
    <r>
      <rPr>
        <u/>
        <sz val="10"/>
        <rFont val="Arial"/>
        <family val="2"/>
      </rPr>
      <t>Cost/Piece</t>
    </r>
  </si>
  <si>
    <t>Leave Notice</t>
  </si>
  <si>
    <t>Attempt Delivery</t>
  </si>
  <si>
    <t>Collect PD</t>
  </si>
  <si>
    <t>Process Refused Mail</t>
  </si>
  <si>
    <t>Total Cost/Piece for Postage Due Forwarded Mail</t>
  </si>
  <si>
    <r>
      <t xml:space="preserve">Labor </t>
    </r>
    <r>
      <rPr>
        <u/>
        <sz val="10"/>
        <rFont val="Arial"/>
        <family val="2"/>
      </rPr>
      <t>Rate</t>
    </r>
  </si>
  <si>
    <t>Refused Postage Due at Window</t>
  </si>
  <si>
    <t>Unit Costs</t>
  </si>
  <si>
    <t>Mail Processing +Transportation</t>
  </si>
  <si>
    <t>RTS Postage Due</t>
  </si>
  <si>
    <t>ACS Pieces</t>
  </si>
  <si>
    <t>Non-ACS Pieces</t>
  </si>
  <si>
    <t>Postage Due</t>
  </si>
  <si>
    <t>Percent</t>
  </si>
  <si>
    <t>Non ACS Processing Subtotals</t>
  </si>
  <si>
    <t>Non ACS Processing Costs</t>
  </si>
  <si>
    <t>ACS Keying Costs</t>
  </si>
  <si>
    <t>ACS Keying Subtotals</t>
  </si>
  <si>
    <t>Total: Non ACS Processing</t>
  </si>
  <si>
    <t>Total: ACS Keying</t>
  </si>
  <si>
    <t>Unit Cost</t>
  </si>
  <si>
    <t>Route/Window</t>
  </si>
  <si>
    <t>Accountables Unit</t>
  </si>
  <si>
    <t>Clerk Filing</t>
  </si>
  <si>
    <r>
      <t xml:space="preserve">Total Unit </t>
    </r>
    <r>
      <rPr>
        <u/>
        <sz val="10"/>
        <rFont val="Arial"/>
        <family val="2"/>
      </rPr>
      <t>Cost</t>
    </r>
  </si>
  <si>
    <t>Window Service</t>
  </si>
  <si>
    <t>Transportation Cost</t>
  </si>
  <si>
    <t>No Record Mail</t>
  </si>
  <si>
    <t>Unendorsed Bulk Business Mail (UBBM)</t>
  </si>
  <si>
    <t>check ---&gt;</t>
  </si>
  <si>
    <r>
      <t xml:space="preserve">Pieces/ </t>
    </r>
    <r>
      <rPr>
        <u/>
        <sz val="10"/>
        <rFont val="Arial"/>
        <family val="2"/>
      </rPr>
      <t>Hour</t>
    </r>
  </si>
  <si>
    <t>Volume of Form 3546 (000s) ---&gt;</t>
  </si>
  <si>
    <t>checks ---&gt;</t>
  </si>
  <si>
    <t>Piggyback factor ---&gt;</t>
  </si>
  <si>
    <t>check total mt cost ---&gt;</t>
  </si>
  <si>
    <t>check total fft cost ---&gt;</t>
  </si>
  <si>
    <t>check total cost ---&gt;</t>
  </si>
  <si>
    <t>check pd mt ---&gt;</t>
  </si>
  <si>
    <t>check pd fft ---&gt;</t>
  </si>
  <si>
    <t>check non-acs keying vol ---&gt;</t>
  </si>
  <si>
    <t>note: every piece gets a non-acs keying</t>
  </si>
  <si>
    <t>check acs mt keying vol ---&gt;</t>
  </si>
  <si>
    <t>note: only some pieces get acs keying</t>
  </si>
  <si>
    <t>check acs fft keying vol ---&gt;</t>
  </si>
  <si>
    <t>check pd mt vol ---&gt;</t>
  </si>
  <si>
    <t>note: only some pieces get pd processing</t>
  </si>
  <si>
    <t>check pd fft vol ---&gt;</t>
  </si>
  <si>
    <t>check acs keying vol ---&gt;</t>
  </si>
  <si>
    <t>Cost/ Piece</t>
  </si>
  <si>
    <r>
      <t xml:space="preserve">Adj Cost </t>
    </r>
    <r>
      <rPr>
        <u/>
        <sz val="10"/>
        <rFont val="Arial"/>
        <family val="2"/>
      </rPr>
      <t>Per Step</t>
    </r>
  </si>
  <si>
    <r>
      <t xml:space="preserve">Cost Per </t>
    </r>
    <r>
      <rPr>
        <u/>
        <sz val="10"/>
        <rFont val="Arial"/>
        <family val="2"/>
      </rPr>
      <t>Step</t>
    </r>
  </si>
  <si>
    <t>Collection Postage Due - Wind. Serv.</t>
  </si>
  <si>
    <t>Vol-Weighted</t>
  </si>
  <si>
    <t xml:space="preserve">   a. Keying and Labeling</t>
  </si>
  <si>
    <t xml:space="preserve">   d. Adjusted Subtotal</t>
  </si>
  <si>
    <t xml:space="preserve">   e. Clerk-Intercept Errors</t>
  </si>
  <si>
    <t xml:space="preserve">   f.  Total Adjusted Volume</t>
  </si>
  <si>
    <r>
      <t xml:space="preserve">COA Volume
</t>
    </r>
    <r>
      <rPr>
        <u/>
        <sz val="10"/>
        <rFont val="Arial"/>
        <family val="2"/>
      </rPr>
      <t>(000s)</t>
    </r>
  </si>
  <si>
    <r>
      <t xml:space="preserve">Overall Cost
</t>
    </r>
    <r>
      <rPr>
        <u/>
        <sz val="10"/>
        <rFont val="Arial"/>
        <family val="2"/>
      </rPr>
      <t>(000s)</t>
    </r>
  </si>
  <si>
    <r>
      <t xml:space="preserve">Total Cost
</t>
    </r>
    <r>
      <rPr>
        <u/>
        <sz val="10"/>
        <rFont val="Arial"/>
        <family val="2"/>
      </rPr>
      <t>(000s)</t>
    </r>
  </si>
  <si>
    <t>Delivery Unit Costs at Route</t>
  </si>
  <si>
    <t>All Pieces</t>
  </si>
  <si>
    <r>
      <t xml:space="preserve">Weighted Cost </t>
    </r>
    <r>
      <rPr>
        <u/>
        <sz val="10"/>
        <rFont val="Arial"/>
        <family val="2"/>
      </rPr>
      <t>Per Piece</t>
    </r>
  </si>
  <si>
    <r>
      <t xml:space="preserve">Volume
</t>
    </r>
    <r>
      <rPr>
        <u/>
        <sz val="10"/>
        <rFont val="Arial"/>
        <family val="2"/>
      </rPr>
      <t>(000s)</t>
    </r>
  </si>
  <si>
    <r>
      <t xml:space="preserve">Total Hours </t>
    </r>
    <r>
      <rPr>
        <u/>
        <sz val="10"/>
        <rFont val="Arial"/>
        <family val="2"/>
      </rPr>
      <t>(000s)</t>
    </r>
  </si>
  <si>
    <t>Rating Postage Due at the Nixie Unit</t>
  </si>
  <si>
    <t>Total Nixie Unit</t>
  </si>
  <si>
    <t>Direct/Indirect</t>
  </si>
  <si>
    <t>2. Flats Forwarding Terminal/Non-Mechanized Terminal</t>
  </si>
  <si>
    <t>Mach.</t>
  </si>
  <si>
    <t>NonMach.</t>
  </si>
  <si>
    <t>Waste Mail Verification</t>
  </si>
  <si>
    <t>check acs mt cost ---&gt;</t>
  </si>
  <si>
    <t>check acs fft cost ---&gt;</t>
  </si>
  <si>
    <t>Table</t>
  </si>
  <si>
    <t>Check Sum</t>
  </si>
  <si>
    <t>Notes:</t>
  </si>
  <si>
    <t>(1)</t>
  </si>
  <si>
    <t>Table 3.1 - Summary of Costs for Processing Undeliverable-As-Addressed Mail</t>
  </si>
  <si>
    <t>(2)</t>
  </si>
  <si>
    <t>(3)</t>
  </si>
  <si>
    <t>(4)</t>
  </si>
  <si>
    <t>(5)</t>
  </si>
  <si>
    <t>(6)</t>
  </si>
  <si>
    <t>(7)</t>
  </si>
  <si>
    <t>(8)</t>
  </si>
  <si>
    <r>
      <t>Piggyback</t>
    </r>
    <r>
      <rPr>
        <u/>
        <sz val="7.5"/>
        <rFont val="Arial"/>
        <family val="2"/>
      </rPr>
      <t xml:space="preserve"> </t>
    </r>
    <r>
      <rPr>
        <u/>
        <sz val="10"/>
        <rFont val="Arial"/>
        <family val="2"/>
      </rPr>
      <t>Factor (1)</t>
    </r>
  </si>
  <si>
    <r>
      <t xml:space="preserve">Piggyback </t>
    </r>
    <r>
      <rPr>
        <u/>
        <sz val="10"/>
        <rFont val="Arial"/>
        <family val="2"/>
      </rPr>
      <t>Factor (2)</t>
    </r>
  </si>
  <si>
    <t xml:space="preserve"> </t>
  </si>
  <si>
    <r>
      <t xml:space="preserve">Total Hours </t>
    </r>
    <r>
      <rPr>
        <u/>
        <sz val="10"/>
        <rFont val="Arial"/>
        <family val="2"/>
      </rPr>
      <t>(000s) (1)</t>
    </r>
  </si>
  <si>
    <r>
      <t xml:space="preserve">Overall Cost
</t>
    </r>
    <r>
      <rPr>
        <u/>
        <sz val="10"/>
        <rFont val="Arial"/>
        <family val="2"/>
      </rPr>
      <t>(000s) (1)</t>
    </r>
  </si>
  <si>
    <r>
      <t xml:space="preserve">Volume
</t>
    </r>
    <r>
      <rPr>
        <u/>
        <sz val="10"/>
        <rFont val="Arial"/>
        <family val="2"/>
      </rPr>
      <t>(000s) (1)</t>
    </r>
  </si>
  <si>
    <r>
      <t xml:space="preserve">Piggyback </t>
    </r>
    <r>
      <rPr>
        <u/>
        <sz val="10"/>
        <rFont val="Arial"/>
        <family val="2"/>
      </rPr>
      <t>Factor (1)</t>
    </r>
  </si>
  <si>
    <t>Volume (000s) (1)</t>
  </si>
  <si>
    <t>Originating Delivery Unit</t>
  </si>
  <si>
    <t>Destinating Delivery Unit</t>
  </si>
  <si>
    <t>Mail Processing &amp; Transportation</t>
  </si>
  <si>
    <t>Piggyback (2)</t>
  </si>
  <si>
    <r>
      <t xml:space="preserve">Error </t>
    </r>
    <r>
      <rPr>
        <u/>
        <sz val="10"/>
        <rFont val="Arial"/>
        <family val="2"/>
      </rPr>
      <t>Rate (3)</t>
    </r>
  </si>
  <si>
    <r>
      <t>Volume</t>
    </r>
    <r>
      <rPr>
        <u/>
        <sz val="10"/>
        <rFont val="Arial"/>
        <family val="2"/>
      </rPr>
      <t xml:space="preserve"> (000s) (1)</t>
    </r>
  </si>
  <si>
    <t>Photo and Discard</t>
  </si>
  <si>
    <t>On-Piece Notice</t>
  </si>
  <si>
    <t>Total Manual Address Correction Volume</t>
  </si>
  <si>
    <t xml:space="preserve">   b. No-Record Mail</t>
  </si>
  <si>
    <t xml:space="preserve">   c. No-Record Mail Errors</t>
  </si>
  <si>
    <t>(5) Assume that twice as many keystrokes are required to key ACS information as to key non-ACS information.</t>
  </si>
  <si>
    <t>(6) This productivity is developed by solving the ACS and non-ACS simultaneous equations for keying information.</t>
  </si>
  <si>
    <t>Total Cost/Piece for Postage Due Return-To-Sender Mail</t>
  </si>
  <si>
    <t>Activity</t>
  </si>
  <si>
    <t>Form 3575</t>
  </si>
  <si>
    <t>Grand Total</t>
  </si>
  <si>
    <t>All Shapes</t>
  </si>
  <si>
    <r>
      <t>Ave. Pieces/</t>
    </r>
    <r>
      <rPr>
        <u/>
        <sz val="10"/>
        <rFont val="Arial"/>
        <family val="2"/>
      </rPr>
      <t>Hour</t>
    </r>
  </si>
  <si>
    <r>
      <t>Marg. Pieces/</t>
    </r>
    <r>
      <rPr>
        <u/>
        <sz val="10"/>
        <rFont val="Arial"/>
        <family val="2"/>
      </rPr>
      <t>Hour</t>
    </r>
  </si>
  <si>
    <r>
      <t xml:space="preserve">Variability </t>
    </r>
    <r>
      <rPr>
        <u/>
        <sz val="10"/>
        <rFont val="Arial"/>
        <family val="2"/>
      </rPr>
      <t>Factor</t>
    </r>
  </si>
  <si>
    <t>Returned to Sender</t>
  </si>
  <si>
    <t>Nixie Unit RTS</t>
  </si>
  <si>
    <t>Hand Forwarded</t>
  </si>
  <si>
    <t>Subtotal</t>
  </si>
  <si>
    <t>Forwarded</t>
  </si>
  <si>
    <t>Wasted</t>
  </si>
  <si>
    <t>Returned To Sender</t>
  </si>
  <si>
    <t>Total - Nixie Unit</t>
  </si>
  <si>
    <t>ACS Nixie - Wasted at CFS Unit</t>
  </si>
  <si>
    <t>1. Mailstream: UAA Mail Directly Sent to Nixie Unit</t>
  </si>
  <si>
    <t>UAA Mail Directly Sent to Nixie Unit</t>
  </si>
  <si>
    <t>3. Mailstream: UAA Mail Directly Sent to Waste Receptacle</t>
  </si>
  <si>
    <t>UAA Mail Directly Sent to Waste Receptacle</t>
  </si>
  <si>
    <t>ACS Nixie - RTS from CFS Unit</t>
  </si>
  <si>
    <t>Total Directly Sent to Nixie Unit</t>
  </si>
  <si>
    <t>Forwarded Postage Due</t>
  </si>
  <si>
    <t>COA Mail Postage Due Activities</t>
  </si>
  <si>
    <t>COA Mail Activities, Excluding Postage Due Activities</t>
  </si>
  <si>
    <t>FF/NM Terminal</t>
  </si>
  <si>
    <t>check acsnix rts mt costs ---&gt;</t>
  </si>
  <si>
    <t>check acsnix rts fft costs ---&gt;</t>
  </si>
  <si>
    <t>check acsnix wst mt costs ---&gt;</t>
  </si>
  <si>
    <t>check acsnix wst fft costs ---&gt;</t>
  </si>
  <si>
    <t>check acsnix rts mt vol ---&gt;</t>
  </si>
  <si>
    <t>check acsnix rts fft vol ---&gt;</t>
  </si>
  <si>
    <t>check acsnix wst mt vol ---&gt;</t>
  </si>
  <si>
    <t>check acsnix wst fft vol ---&gt;</t>
  </si>
  <si>
    <t>check acsnix mt cost ---&gt;</t>
  </si>
  <si>
    <t>check acsnxi fft cost ---&gt;</t>
  </si>
  <si>
    <t>check acsnix total cost ---&gt;</t>
  </si>
  <si>
    <t>check acsnxi fft vol ---&gt;</t>
  </si>
  <si>
    <t>check acsnix total vol ---&gt;</t>
  </si>
  <si>
    <t>check acsnix mt vol ---&gt;</t>
  </si>
  <si>
    <t>Carrier Preparation</t>
  </si>
  <si>
    <t>ACS Keying Cost</t>
  </si>
  <si>
    <t>Clerk Handling - Sort By Reason</t>
  </si>
  <si>
    <t>CFS Postage Due Unit</t>
  </si>
  <si>
    <t>route module ---&gt;</t>
  </si>
  <si>
    <t>nixie module ---&gt;</t>
  </si>
  <si>
    <t>cfs module ---&gt;</t>
  </si>
  <si>
    <t>Total ---&gt;</t>
  </si>
  <si>
    <t>pd module ---&gt;</t>
  </si>
  <si>
    <t>Route</t>
  </si>
  <si>
    <t>Craft</t>
  </si>
  <si>
    <t>Nixie Unit</t>
  </si>
  <si>
    <t>CFS Unit</t>
  </si>
  <si>
    <t>Mailstream Processing &amp; Transportation</t>
  </si>
  <si>
    <t>Module</t>
  </si>
  <si>
    <t>Carrier/Clerk</t>
  </si>
  <si>
    <t>Clerk</t>
  </si>
  <si>
    <t>Cost</t>
  </si>
  <si>
    <t>($000)</t>
  </si>
  <si>
    <t>(000)</t>
  </si>
  <si>
    <t>Form 3547 Activities</t>
  </si>
  <si>
    <t>Form 3579 Activities</t>
  </si>
  <si>
    <t>Unit</t>
  </si>
  <si>
    <t>Sort/Transport</t>
  </si>
  <si>
    <t>Identify/Separate</t>
  </si>
  <si>
    <t>Clerk/MH</t>
  </si>
  <si>
    <t>Address Correction</t>
  </si>
  <si>
    <t>Forwarded (1)</t>
  </si>
  <si>
    <t>Processing &amp; Transport</t>
  </si>
  <si>
    <t>Accountable Unit</t>
  </si>
  <si>
    <t>Cost/Card</t>
  </si>
  <si>
    <r>
      <t xml:space="preserve">Total </t>
    </r>
    <r>
      <rPr>
        <u/>
        <sz val="10"/>
        <rFont val="Arial"/>
        <family val="2"/>
      </rPr>
      <t>Cost/Card</t>
    </r>
  </si>
  <si>
    <t>1. Photo and Forward</t>
  </si>
  <si>
    <t>2. Photo and Treat as Waste</t>
  </si>
  <si>
    <t>3. On Piece Notice</t>
  </si>
  <si>
    <t>ACS Nixie Notification</t>
  </si>
  <si>
    <t>ACS COA Processing</t>
  </si>
  <si>
    <t>Non-Letters</t>
  </si>
  <si>
    <t>Returned To Sender (2)</t>
  </si>
  <si>
    <t>Wasted (3)</t>
  </si>
  <si>
    <t>Nixie Work (4)</t>
  </si>
  <si>
    <t>Final Disposition</t>
  </si>
  <si>
    <t>Key/Label, Etc. (5)</t>
  </si>
  <si>
    <t>Hourly Wage - Clerk</t>
  </si>
  <si>
    <t>direct costs ---&gt;</t>
  </si>
  <si>
    <t>coa costs ---&gt;</t>
  </si>
  <si>
    <t>man note costs ---&gt;</t>
  </si>
  <si>
    <t>adm/spt costs ---&gt;</t>
  </si>
  <si>
    <t>Processing Original COAs</t>
  </si>
  <si>
    <t>Type</t>
  </si>
  <si>
    <t>Location</t>
  </si>
  <si>
    <t>Manual 3575</t>
  </si>
  <si>
    <t>W/S Clerk</t>
  </si>
  <si>
    <t>Manual 3575Z</t>
  </si>
  <si>
    <t>Carrier Filling Out Form</t>
  </si>
  <si>
    <t>Internet 3575</t>
  </si>
  <si>
    <t>Telephone 3575</t>
  </si>
  <si>
    <t>Craft/Activity</t>
  </si>
  <si>
    <t>Total -- Original COAs</t>
  </si>
  <si>
    <t>Processing Modified and Deleted COAs</t>
  </si>
  <si>
    <t>Modifications 3546</t>
  </si>
  <si>
    <t>Deletions 3575</t>
  </si>
  <si>
    <t>Total -- Modified/Deleted</t>
  </si>
  <si>
    <r>
      <t xml:space="preserve">Cards
</t>
    </r>
    <r>
      <rPr>
        <u/>
        <sz val="10"/>
        <rFont val="Arial"/>
        <family val="2"/>
      </rPr>
      <t>(000s) (1)</t>
    </r>
  </si>
  <si>
    <t>Plant</t>
  </si>
  <si>
    <t>Clerk/MH Processing</t>
  </si>
  <si>
    <t>Returned</t>
  </si>
  <si>
    <t>Volumes and Costs</t>
  </si>
  <si>
    <t>Costs (000s) (1)</t>
  </si>
  <si>
    <t>Letters (1)</t>
  </si>
  <si>
    <t>CFPS COA Scanning</t>
  </si>
  <si>
    <t>3982 Labeling</t>
  </si>
  <si>
    <t>Key From Paper</t>
  </si>
  <si>
    <t>Carrier Apply Stickers</t>
  </si>
  <si>
    <t>CFS/CIOSS Costs</t>
  </si>
  <si>
    <t>Mail Process &amp; Trans Costs</t>
  </si>
  <si>
    <t>ACS Nixie - Returned to Sender from CFS/CIOSS</t>
  </si>
  <si>
    <t>ACS Nixie - Wasted at CFS/CIOSS</t>
  </si>
  <si>
    <t>2. Mailstream: UAA Mail Directly Sent to CFS/CIOSS</t>
  </si>
  <si>
    <t>CFS/CIOSS - Forwarded</t>
  </si>
  <si>
    <t>CFS/CIOSS - Returned to Sender</t>
  </si>
  <si>
    <t>CFS/CIOSS - Wasted</t>
  </si>
  <si>
    <t>Total Directly Sent to CFS/CIOSS</t>
  </si>
  <si>
    <t>4. CFS/CIOSS No Record Mail &amp; UBBM</t>
  </si>
  <si>
    <t>5. Final Disposition Including CFS/CIOSS NRM &amp; UBBM</t>
  </si>
  <si>
    <t>UAA Mail Directly Sent to CFS/CIOSS</t>
  </si>
  <si>
    <t>CFS/CIOSS - Returned To Sender</t>
  </si>
  <si>
    <t>Total - CFS/CIOSS</t>
  </si>
  <si>
    <t>PARS Environment</t>
  </si>
  <si>
    <t>Mail Stream</t>
  </si>
  <si>
    <t>UAA Reason</t>
  </si>
  <si>
    <t>Moved, Active COA</t>
  </si>
  <si>
    <t>Mail Type</t>
  </si>
  <si>
    <t>ACS Nixie</t>
  </si>
  <si>
    <t>(1) CIOSS processing includes image lift, label application, and associated activities such as riffling.</t>
  </si>
  <si>
    <r>
      <t xml:space="preserve">Volume
</t>
    </r>
    <r>
      <rPr>
        <u/>
        <sz val="10"/>
        <rFont val="Arial"/>
        <family val="2"/>
      </rPr>
      <t>(000s) (2)</t>
    </r>
  </si>
  <si>
    <r>
      <t xml:space="preserve">Overall Cost
</t>
    </r>
    <r>
      <rPr>
        <u/>
        <sz val="10"/>
        <rFont val="Arial"/>
        <family val="2"/>
      </rPr>
      <t>(000s) (2)</t>
    </r>
  </si>
  <si>
    <r>
      <t xml:space="preserve">Piggyback </t>
    </r>
    <r>
      <rPr>
        <u/>
        <sz val="10"/>
        <rFont val="Arial"/>
        <family val="2"/>
      </rPr>
      <t>Factor (3)</t>
    </r>
  </si>
  <si>
    <t>Total CIF Mail</t>
  </si>
  <si>
    <t>Total INT Mail</t>
  </si>
  <si>
    <t>Non-ACS</t>
  </si>
  <si>
    <t>ACS</t>
  </si>
  <si>
    <t>Bad Address and Other</t>
  </si>
  <si>
    <t>Intercepted Mail (4)</t>
  </si>
  <si>
    <t>Carrier-Identified Forwards (7)</t>
  </si>
  <si>
    <t>Carrier-Identified Returns (8)</t>
  </si>
  <si>
    <t>Total CIR Mail</t>
  </si>
  <si>
    <t>(4) Mail that is intercepted by PARS-enabled machines during mail processing activities.</t>
  </si>
  <si>
    <r>
      <t xml:space="preserve">REC Total Cost
</t>
    </r>
    <r>
      <rPr>
        <u/>
        <sz val="10"/>
        <rFont val="Arial"/>
        <family val="2"/>
      </rPr>
      <t>(000s)</t>
    </r>
  </si>
  <si>
    <r>
      <t xml:space="preserve">REC Volume
</t>
    </r>
    <r>
      <rPr>
        <u/>
        <sz val="10"/>
        <rFont val="Arial"/>
        <family val="2"/>
      </rPr>
      <t>(000s)</t>
    </r>
  </si>
  <si>
    <r>
      <t xml:space="preserve">AFR Final Volume
</t>
    </r>
    <r>
      <rPr>
        <u/>
        <sz val="10"/>
        <rFont val="Arial"/>
        <family val="2"/>
      </rPr>
      <t>(000s)</t>
    </r>
  </si>
  <si>
    <t>COA Cards</t>
  </si>
  <si>
    <t>Total Mail</t>
  </si>
  <si>
    <r>
      <t xml:space="preserve">Input Volume
</t>
    </r>
    <r>
      <rPr>
        <u/>
        <sz val="10"/>
        <rFont val="Arial"/>
        <family val="2"/>
      </rPr>
      <t>(000s) (1)</t>
    </r>
  </si>
  <si>
    <r>
      <t xml:space="preserve">AFR Finalization </t>
    </r>
    <r>
      <rPr>
        <u/>
        <sz val="10"/>
        <rFont val="Arial"/>
        <family val="2"/>
      </rPr>
      <t>Rate (1)</t>
    </r>
  </si>
  <si>
    <t>Intercepted Mail (2)</t>
  </si>
  <si>
    <t>Carrier-Identified Forwards (5)</t>
  </si>
  <si>
    <t>Carrier-Identified Returns (6)</t>
  </si>
  <si>
    <t>Originals</t>
  </si>
  <si>
    <t>Mods/Deletes</t>
  </si>
  <si>
    <t>Total Card Images</t>
  </si>
  <si>
    <t>Total Mail Images</t>
  </si>
  <si>
    <t>Grand Total Images</t>
  </si>
  <si>
    <t>(2) Mail that is intercepted by PARS-enabled machines during mail processing activities.</t>
  </si>
  <si>
    <t>Returned (3)</t>
  </si>
  <si>
    <r>
      <t xml:space="preserve">REC Volume
</t>
    </r>
    <r>
      <rPr>
        <u/>
        <sz val="10"/>
        <rFont val="Arial"/>
        <family val="2"/>
      </rPr>
      <t>(000s) (1)</t>
    </r>
  </si>
  <si>
    <t>Returned (9)</t>
  </si>
  <si>
    <t>Non-CIOSS Mail</t>
  </si>
  <si>
    <t>CIOSS Reject Mail</t>
  </si>
  <si>
    <t>All Mail</t>
  </si>
  <si>
    <t>check all mail, COA ---&gt;</t>
  </si>
  <si>
    <t>check all mail, acsnix ---&gt;</t>
  </si>
  <si>
    <t>Letters Sent To CIOSS</t>
  </si>
  <si>
    <t>ACS Nixie - RTS</t>
  </si>
  <si>
    <t>ACS Nixie - Wasted</t>
  </si>
  <si>
    <t>All Other Letters</t>
  </si>
  <si>
    <t>RTS Diverted To MRC</t>
  </si>
  <si>
    <t>Total CIOSS Letters</t>
  </si>
  <si>
    <t>Total Other Letters</t>
  </si>
  <si>
    <t>All Other Shapes</t>
  </si>
  <si>
    <t>Total Other Shapes</t>
  </si>
  <si>
    <t>Total CIOSS Rejects</t>
  </si>
  <si>
    <t>All Other Mail</t>
  </si>
  <si>
    <t xml:space="preserve">(3) For CIOSS letters, there is no manual postage due rating in the nixie unit.  Rating is </t>
  </si>
  <si>
    <t>check form count ---&gt;</t>
  </si>
  <si>
    <t>check env count ---&gt;</t>
  </si>
  <si>
    <t>Total Form 3547 - CIOSS ---&gt;</t>
  </si>
  <si>
    <t>Total Form 3547 - All Forms ---&gt;</t>
  </si>
  <si>
    <t>CIOSS/CFS</t>
  </si>
  <si>
    <t>Forms Generated at All Locations</t>
  </si>
  <si>
    <r>
      <t xml:space="preserve">Forms per </t>
    </r>
    <r>
      <rPr>
        <u/>
        <sz val="10"/>
        <rFont val="Arial"/>
        <family val="2"/>
      </rPr>
      <t>Envelope</t>
    </r>
  </si>
  <si>
    <r>
      <t>Total Mailstream Processing</t>
    </r>
    <r>
      <rPr>
        <u/>
        <sz val="10"/>
        <rFont val="Arial"/>
        <family val="2"/>
      </rPr>
      <t xml:space="preserve"> Cost Per Envelope</t>
    </r>
  </si>
  <si>
    <t>CIOSS</t>
  </si>
  <si>
    <t>AFR</t>
  </si>
  <si>
    <t>REC</t>
  </si>
  <si>
    <t>Input</t>
  </si>
  <si>
    <t>Rejects</t>
  </si>
  <si>
    <t>Finalized</t>
  </si>
  <si>
    <t>COA Mail</t>
  </si>
  <si>
    <t>Nixie Mail</t>
  </si>
  <si>
    <t>Non-Forwardable Mail</t>
  </si>
  <si>
    <t>AFR Finalized</t>
  </si>
  <si>
    <t>REC Finalized</t>
  </si>
  <si>
    <t>CFS</t>
  </si>
  <si>
    <t>FF/NM Terminal (3)</t>
  </si>
  <si>
    <t>Mechanized Terminal (4)</t>
  </si>
  <si>
    <t>FF/NM Terminal (5)</t>
  </si>
  <si>
    <t>(4) Mechanized terminals are not operational in the PARS environment.</t>
  </si>
  <si>
    <t>AFR Finalized (6)</t>
  </si>
  <si>
    <t>ACS COA</t>
  </si>
  <si>
    <t>For some types of mail, image lift occurs on upstream, PARS-enabled machines such as AFCS, MLOCR, and DIOSS machines.</t>
  </si>
  <si>
    <r>
      <t xml:space="preserve">Hours
</t>
    </r>
    <r>
      <rPr>
        <u/>
        <sz val="10"/>
        <rFont val="Arial"/>
        <family val="2"/>
      </rPr>
      <t>(000s)</t>
    </r>
  </si>
  <si>
    <t>Non-PARS Pieces (2)</t>
  </si>
  <si>
    <t>(1) Refer to Table 3.11.</t>
  </si>
  <si>
    <t>CIOSS Processing</t>
  </si>
  <si>
    <t>COA Images</t>
  </si>
  <si>
    <t>CIF Forwarded</t>
  </si>
  <si>
    <t>CIF Returned</t>
  </si>
  <si>
    <t>CIF Wasted</t>
  </si>
  <si>
    <t>CIR Returned</t>
  </si>
  <si>
    <t>Clerk Handling - Verifying Waste</t>
  </si>
  <si>
    <t>CIOSS Rejects - Nixie Unit Processing</t>
  </si>
  <si>
    <t>CIOSS Rejects - CFS Unit Processing</t>
  </si>
  <si>
    <t>Non-PARS Pieces</t>
  </si>
  <si>
    <t>Plant-Intercepted Non-Forwardable Waste</t>
  </si>
  <si>
    <t>Plant-Intercepted COA Mail Waste</t>
  </si>
  <si>
    <t>Carrier-Identified COA Mail Waste</t>
  </si>
  <si>
    <t>Total Non-PARS Pieces</t>
  </si>
  <si>
    <t>Clerk Handling - Prep for CIOSS</t>
  </si>
  <si>
    <t>Delivery Unit Waste</t>
  </si>
  <si>
    <t>CFS Unit COA Mail Waste</t>
  </si>
  <si>
    <t>CFS Unit ACS Nixie Waste</t>
  </si>
  <si>
    <t>REC Site Finalization, Non-ACS Pieces</t>
  </si>
  <si>
    <t>Carrier-Identified ACS Nixie Mail Waste</t>
  </si>
  <si>
    <t>Plant-Intercepted ACS Nixie Mail Waste</t>
  </si>
  <si>
    <t>cioss module ---&gt;</t>
  </si>
  <si>
    <t>rec module ---&gt;</t>
  </si>
  <si>
    <t>Total PARS Pieces</t>
  </si>
  <si>
    <t>PARS Pieces</t>
  </si>
  <si>
    <t>Plant-Intercepted COA Mail RTS</t>
  </si>
  <si>
    <t>Carrier-Identified COA Mail RTS</t>
  </si>
  <si>
    <t>Plant-Intercepted ACS Nixie Mail RTS</t>
  </si>
  <si>
    <t>Carrier-Identified ACS Nixie Mail RTS</t>
  </si>
  <si>
    <t>Carrier-Identified Nixie Mail RTS</t>
  </si>
  <si>
    <t>Pieces</t>
  </si>
  <si>
    <t>Forwarded Mail</t>
  </si>
  <si>
    <t>Returned-To-Sender Mail</t>
  </si>
  <si>
    <r>
      <t xml:space="preserve">PARS </t>
    </r>
    <r>
      <rPr>
        <u/>
        <sz val="10"/>
        <rFont val="Arial"/>
        <family val="2"/>
      </rPr>
      <t>Pieces (000)</t>
    </r>
  </si>
  <si>
    <r>
      <t xml:space="preserve">Non-PARS </t>
    </r>
    <r>
      <rPr>
        <u/>
        <sz val="10"/>
        <rFont val="Arial"/>
        <family val="2"/>
      </rPr>
      <t>Pieces (000)</t>
    </r>
  </si>
  <si>
    <r>
      <t xml:space="preserve">Total </t>
    </r>
    <r>
      <rPr>
        <u/>
        <sz val="10"/>
        <rFont val="Arial"/>
        <family val="2"/>
      </rPr>
      <t>Pieces (000)</t>
    </r>
  </si>
  <si>
    <t>Downstream Activities</t>
  </si>
  <si>
    <t>mp trans module ---&gt;</t>
  </si>
  <si>
    <t>Delivery Unit RTS</t>
  </si>
  <si>
    <t>Clerk Handling - Prep/Mark Up</t>
  </si>
  <si>
    <t>CFS Unit COA Mail RTS</t>
  </si>
  <si>
    <t>CFS Unit ACS Nixie RTS</t>
  </si>
  <si>
    <t>Table 3.3 - Cost of Forwarded UAA Mail, PARS Pieces</t>
  </si>
  <si>
    <t>Plant-Intercepted COA Mail Forwarded</t>
  </si>
  <si>
    <t>Carrier-Identified COA Mail Forwarded</t>
  </si>
  <si>
    <t>Delivery Unit Hand Forwarded</t>
  </si>
  <si>
    <t>CFS Unit COA Mail Forwarded</t>
  </si>
  <si>
    <t>Activities Directly Associated with UAA Mail -- PARS Pieces</t>
  </si>
  <si>
    <t>Activities Directly Associated with UAA Mail -- Non-PARS Pieces</t>
  </si>
  <si>
    <t>REC Site</t>
  </si>
  <si>
    <t>Image Lift/Label</t>
  </si>
  <si>
    <t>Activities Directly Associated with UAA Mail -- All Pieces</t>
  </si>
  <si>
    <t>PARS</t>
  </si>
  <si>
    <t>Non-PARS</t>
  </si>
  <si>
    <t>Clerk Keying</t>
  </si>
  <si>
    <t>REC Site Processing</t>
  </si>
  <si>
    <t>Total -- REC Site</t>
  </si>
  <si>
    <t>Total Cost ($000)</t>
  </si>
  <si>
    <t>Machinable Letters</t>
  </si>
  <si>
    <t>Non-Machinable Letters</t>
  </si>
  <si>
    <t>Machinable Parcels</t>
  </si>
  <si>
    <t>Non-Machinable Parcels</t>
  </si>
  <si>
    <t>All Forwarded Pieces</t>
  </si>
  <si>
    <t>All RTS Pieces</t>
  </si>
  <si>
    <t>Non-Machinable Letters (1)</t>
  </si>
  <si>
    <t>(1)  PARS letters rejected from the CIOSS machine.</t>
  </si>
  <si>
    <t>Table 3.2 - Cost of Forwarded UAA Mail, All Pieces</t>
  </si>
  <si>
    <t>Table 3.4 - Cost of Forwarded UAA Mail, Non-PARS Pieces</t>
  </si>
  <si>
    <t>Table 3.5 - Cost of Returned-to-Sender UAA Mail, All Pieces</t>
  </si>
  <si>
    <t>Table 3.7 - Cost of Returned-to-Sender UAA Mail, Non-PARS Pieces</t>
  </si>
  <si>
    <t>Table 3.8 - Cost of Wasted UAA Mail, All Pieces</t>
  </si>
  <si>
    <t>Table 3.9 - Cost of Wasted UAA Mail, PARS Pieces</t>
  </si>
  <si>
    <t>Table 3.10 - Cost of Wasted UAA Mail, Non-PARS Pieces</t>
  </si>
  <si>
    <t>Table 3.11 - Cost of Form 3547: Part 1 - Forms Generated on CIOSS Machines</t>
  </si>
  <si>
    <t>Table 3.12 - Cost of Form 3579</t>
  </si>
  <si>
    <t>Table 3.13 - Costs of Processing COA Cards (Form 3575, 3575Z, and 3546): Part 1 - Processing Original COAs</t>
  </si>
  <si>
    <t>UAA Baseline Cost Model Tables</t>
  </si>
  <si>
    <t>Table 3.18 - Cost of UAA at the Originating Nixie Unit (Excluding Postage Due Processing)</t>
  </si>
  <si>
    <t>Table 3.19 - Summary of Cost of UAA at CFS Unit: Part 1 - Non-CIOSS Mail</t>
  </si>
  <si>
    <t>Table 3.20 - Non-CIOSS Mail CFS Processing Costs: Part 1 - COA Mail Activities, Excluding Postage Due</t>
  </si>
  <si>
    <t>Table 3.21 - CIOSS Reject Mail CFS Processing Costs: Part 1 - COA Mail Activities, Excluding Postage Due</t>
  </si>
  <si>
    <t>Table 3.22 - CFS COA Mail Keying and Labeling Productivities</t>
  </si>
  <si>
    <t>Table 3.24 - Detailed CIOSS Processing Cost (1), Machinable Letters</t>
  </si>
  <si>
    <t>Forwarded (6)</t>
  </si>
  <si>
    <t>Returned To Sender (7)</t>
  </si>
  <si>
    <t>Wasted (8)</t>
  </si>
  <si>
    <t>COA Card Processing (9)</t>
  </si>
  <si>
    <t>(1) UAA PARS mail that is forwarded to a new destination address.  Refer to Table 3.3.</t>
  </si>
  <si>
    <t>(2) UAA PARS mail that is returned to the sender's address.  Refer to Table 3.6.</t>
  </si>
  <si>
    <t>(3) UAA PARS mail that is wasted based on USPS UAA regulations.  Refer to Table 3.9.</t>
  </si>
  <si>
    <t>(6) UAA non-PARS mail that is forwarded to a new destination address.  Refer to Table 3.4.</t>
  </si>
  <si>
    <t>(7) UAA non-PARS mail that is returned to the sender's address.  Refer to Table 3.7.</t>
  </si>
  <si>
    <t>(9) Refer to Table 3.13. Includes Forms 3575, 3575Z, and 3546.</t>
  </si>
  <si>
    <t>PARS Pieces (1)</t>
  </si>
  <si>
    <t>(1) Refer to Table 3.3.</t>
  </si>
  <si>
    <t>(2) Refer to Table 3.4.</t>
  </si>
  <si>
    <t>Plant-Intercepted COA Mail Forwarded (1)</t>
  </si>
  <si>
    <t>Carrier-Identified COA Mail Forwarded (2)</t>
  </si>
  <si>
    <t>Downstream Activities (3)</t>
  </si>
  <si>
    <t>(2) COA mail that is identified by carriers at the original delivery unit as being forwarded.</t>
  </si>
  <si>
    <t>(3) Activities that occur after mail has been redirected.</t>
  </si>
  <si>
    <t>(9)</t>
  </si>
  <si>
    <t>(4) Refer to Table 3.24.</t>
  </si>
  <si>
    <t>(6) Refer to Table 3.26.</t>
  </si>
  <si>
    <t>(8) Refer to Table 3.21.</t>
  </si>
  <si>
    <t>(10)</t>
  </si>
  <si>
    <t>(11)</t>
  </si>
  <si>
    <t>(9) Refer to Table 3.16.</t>
  </si>
  <si>
    <t>(10) Refer to Table 3.18.</t>
  </si>
  <si>
    <t>(12)</t>
  </si>
  <si>
    <t>(13)</t>
  </si>
  <si>
    <t>(14)</t>
  </si>
  <si>
    <t>(15)</t>
  </si>
  <si>
    <t>(16)</t>
  </si>
  <si>
    <t>Delivery Unit Hand Forwarded (1)</t>
  </si>
  <si>
    <t>CFS Unit COA Mail Forwarded (2)</t>
  </si>
  <si>
    <t>(1) Mail being hand forwarded from the delivery unit.</t>
  </si>
  <si>
    <t>(2) Mail directly sent to CFS unit which is then forwarded.</t>
  </si>
  <si>
    <t>(4) Refer to Table 3.15.</t>
  </si>
  <si>
    <t>(5) Refer to Table 3.18.</t>
  </si>
  <si>
    <t>(7) Refer to Table 3.20.</t>
  </si>
  <si>
    <t>(9) Refer to Table 3.35.</t>
  </si>
  <si>
    <t>(1) Refer to Table 3.6.</t>
  </si>
  <si>
    <t>(2) Refer to Table 3.7.</t>
  </si>
  <si>
    <t>Plant-Intercepted COA Mail RTS (2)</t>
  </si>
  <si>
    <t>Carrier-Identified COA Mail RTS (3)</t>
  </si>
  <si>
    <t>Carrier-Identified Nixie Mail RTS (4)</t>
  </si>
  <si>
    <t>Plant-Intercepted ACS Nixie Mail RTS (5)</t>
  </si>
  <si>
    <t>Carrier-Identified ACS Nixie Mail RTS (6)</t>
  </si>
  <si>
    <t>Downstream Activities (7)</t>
  </si>
  <si>
    <t>(3) COA mail that is identified by carriers at the original delivery unit as being RTS.</t>
  </si>
  <si>
    <t>(4) Nixie mail that is identified by carriers at the original delivery unit as being RTS.</t>
  </si>
  <si>
    <t>(7) Activities that occur after mail has been redirected.</t>
  </si>
  <si>
    <t>(8) Refer to Table 3.24.</t>
  </si>
  <si>
    <t>(7) Refer to Table 3.21 after subtracting out carrier-identified forwarded mail.</t>
  </si>
  <si>
    <t>(11) Refer to Table 3.21 after subtracting out plant-intercepted forwarded mail.</t>
  </si>
  <si>
    <t>(11) Refer to Table 3.18.</t>
  </si>
  <si>
    <t>(12) Refer to Table 3.26.</t>
  </si>
  <si>
    <t>(11) Refer to Table 3.21.</t>
  </si>
  <si>
    <t>(14) Refer to Table 3.21.</t>
  </si>
  <si>
    <t>(15) Refer to Table 3.16.</t>
  </si>
  <si>
    <t>(17)</t>
  </si>
  <si>
    <t>(18)</t>
  </si>
  <si>
    <t>(19)</t>
  </si>
  <si>
    <t>(20)</t>
  </si>
  <si>
    <t>(21)</t>
  </si>
  <si>
    <t>(22)</t>
  </si>
  <si>
    <t>(23)</t>
  </si>
  <si>
    <t>(24)</t>
  </si>
  <si>
    <t>Delivery Unit RTS (1)</t>
  </si>
  <si>
    <t>CFS Unit COA Mail RTS (2)</t>
  </si>
  <si>
    <t>CFS Unit ACS Nixie RTS (3)</t>
  </si>
  <si>
    <t>Downstream Activities (4)</t>
  </si>
  <si>
    <t>(1) Mail being returned from the delivery unit.</t>
  </si>
  <si>
    <t>(2) Mail directly sent to CFS unit which is then returned to sender.</t>
  </si>
  <si>
    <t>(4) Activities that occur after mail has been redirected.</t>
  </si>
  <si>
    <t>(5) Refer to Table 3.15.</t>
  </si>
  <si>
    <t>(6) Refer to Table 3.18.</t>
  </si>
  <si>
    <t>(8) Refer to Table 3.20.</t>
  </si>
  <si>
    <t>(1) Refer to Table 3.9.</t>
  </si>
  <si>
    <t>(2) Refer to Table 3.10.</t>
  </si>
  <si>
    <t>Plant-Intercepted Non-Forwardable Waste (1)</t>
  </si>
  <si>
    <t>Plant-Intercepted COA Mail Waste (2)</t>
  </si>
  <si>
    <t>Carrier-Identified COA Mail Waste (3)</t>
  </si>
  <si>
    <t>Plant-Intercepted ACS Nixie Mail Waste (4)</t>
  </si>
  <si>
    <t>Carrier-Identified ACS Nixie Mail Waste (5)</t>
  </si>
  <si>
    <t>Table 3.19 - Summary of Cost of UAA at CFS Unit: Part 2 - CIOSS Reject Mail</t>
  </si>
  <si>
    <t>Table 3.19 - Summary of Cost of UAA at CFS Unit: Part 3 - All Mail</t>
  </si>
  <si>
    <t>(2) Refer to Table 3.20.</t>
  </si>
  <si>
    <t>Table 3.20 - Non-CIOSS Mail CFS Processing Costs: Part 2 - COA Mail Postage Due Activities</t>
  </si>
  <si>
    <t>Table 3.20 - Non-CIOSS Mail CFS Processing Costs: Part 3 - ACS Nixie Mail Activities</t>
  </si>
  <si>
    <t>Table 3.21 - CIOSS Reject Mail CFS Processing Costs: Part 2 - COA Mail Postage Due Activities</t>
  </si>
  <si>
    <t>Table 3.21- CIOSS Reject Mail CFS Processing Costs: Part 3 - ACS Nixie Mail Activities</t>
  </si>
  <si>
    <t>(1) Refer to Table 3.24.</t>
  </si>
  <si>
    <t>Moved, Non-Forwardable (6)</t>
  </si>
  <si>
    <t>(6) Unendorsed Standard Mail and BPM Mail associated with an active COA.  These pieces are not forwardable.</t>
  </si>
  <si>
    <t>(8) Mail with a bad address or other nixie reason that is identified by a carrier.</t>
  </si>
  <si>
    <t>(1) Refer to Table 3.26.</t>
  </si>
  <si>
    <t>(4) Unendorsed Standard Mail and BPM Mail associated with an active COA.  These pieces are not forwardable.</t>
  </si>
  <si>
    <t>Moved, Non-Forwardable (4)</t>
  </si>
  <si>
    <t>Moved, Non- Forwardable (4)</t>
  </si>
  <si>
    <t>(6) Mail with a bad address or other nixie reason that is identified by a carrier.</t>
  </si>
  <si>
    <t>(2)  Refer to Table 3.3.</t>
  </si>
  <si>
    <t>(5)  Refer to Table 3.6.</t>
  </si>
  <si>
    <t xml:space="preserve">      automated as part of the CIOSS label-generation process.</t>
  </si>
  <si>
    <t>Processing and Transport Unit Cost, Form 3547</t>
  </si>
  <si>
    <t>Processing and Transport Unit Cost, Form 3579</t>
  </si>
  <si>
    <t>(3) Refer to Table 3.12.</t>
  </si>
  <si>
    <t>(1) Pieces that are processed in the PARS system, including CIOSS rejects.</t>
  </si>
  <si>
    <t>(2) Pieces that are not processed in the PARS system.</t>
  </si>
  <si>
    <t>(5) ACS letter mail that is rejected from CIOSS machines is processed at the CFS unit.</t>
  </si>
  <si>
    <t>Table 3.15 - Cost of UAA at the Originating Delivery Unit Route, Non-PARS Pieces (Part 1)</t>
  </si>
  <si>
    <t>Table 3.26 - Detailed REC Site Processing Cost (1), Non-ACS Keying, Machinable Letters and COA Cards</t>
  </si>
  <si>
    <t>Table 3.27 - Detailed REC Site Processing Cost (1), ACS Keying, Machinable Letters and COA Cards</t>
  </si>
  <si>
    <r>
      <t xml:space="preserve">Non-ACS Keying Cost
</t>
    </r>
    <r>
      <rPr>
        <u/>
        <sz val="10"/>
        <rFont val="Arial"/>
        <family val="2"/>
      </rPr>
      <t>(000s) (1)</t>
    </r>
  </si>
  <si>
    <t>REC Site Finalization, ACS Pieces (17)</t>
  </si>
  <si>
    <t>REC Site Finalization, ACS Pieces (25)</t>
  </si>
  <si>
    <t>(5) Refer to Table 3.28.</t>
  </si>
  <si>
    <t>(12) Refer to Table 3.35.</t>
  </si>
  <si>
    <t>(13) Refer to Table 3.30.</t>
  </si>
  <si>
    <t>(14) Refer to Table 3.32.</t>
  </si>
  <si>
    <t>(15) Refer to Table 3.33.</t>
  </si>
  <si>
    <t>(16) Refer to Table 3.34.</t>
  </si>
  <si>
    <t>(8) Refer to Table 3.35.</t>
  </si>
  <si>
    <t>(9) Refer to Table 3.36.</t>
  </si>
  <si>
    <t>(10) Refer to Table 3.30.</t>
  </si>
  <si>
    <t>(11) Refer to Table 3.32.</t>
  </si>
  <si>
    <t>(12) Refer to Table 3.33.</t>
  </si>
  <si>
    <t>(13) Refer to Table 3.34.</t>
  </si>
  <si>
    <t>(9) Refer to Table 3.28.</t>
  </si>
  <si>
    <t>(20) Refer to Table 3.35.</t>
  </si>
  <si>
    <t>(21) Refer to Table 3.30.</t>
  </si>
  <si>
    <t>(22) Refer to Table 3.32.</t>
  </si>
  <si>
    <t>(23) Refer to Table 3.33.</t>
  </si>
  <si>
    <t>(24) Refer to Table 3.34.</t>
  </si>
  <si>
    <t>(7) Refer to Table 3.31.</t>
  </si>
  <si>
    <t>(7) Refer to Table 3.28.</t>
  </si>
  <si>
    <t>(3) Refer to Table 3.40.</t>
  </si>
  <si>
    <t>(1) Refer to Table 3.28.</t>
  </si>
  <si>
    <t>(3)  Refer to Table 3.29.</t>
  </si>
  <si>
    <t>(2) Refer to Table 3.32.</t>
  </si>
  <si>
    <t>(3) Refer to Table 3.33.</t>
  </si>
  <si>
    <t>(4) Refer to Table 3.34.</t>
  </si>
  <si>
    <t>(3) Based on the cost of forwarded letters, Table 3.29.</t>
  </si>
  <si>
    <t>(4) Refer to Table 3.38.</t>
  </si>
  <si>
    <t>(3) Refer to Table 3.37.</t>
  </si>
  <si>
    <t>(2) Refer to Table 3.37.</t>
  </si>
  <si>
    <t>(3) Refer to Table 3.42.</t>
  </si>
  <si>
    <t>Table 3.28 - Derivation of Volumes Processed at REC Site, Machinable UAA Letters and COA Cards</t>
  </si>
  <si>
    <t>Table 3.29 - Derivation of UAA Mail in Mail Processing and Transportation Unit Costs</t>
  </si>
  <si>
    <t>Table 3.30 - Cost of UAA Mail in Mail Processing and Transportation</t>
  </si>
  <si>
    <t>Table 3.31 - Cost of Rating Postage Due Mail at the Originating Nixie Unit</t>
  </si>
  <si>
    <t>Table 3.32 - Accountable Mail Unit, Cost of Processing UAA Postage Due Mail</t>
  </si>
  <si>
    <t>Table 3.33 - Carrier Cost for Delivering UAA Postage Due Mail</t>
  </si>
  <si>
    <t>Table 3.34 - Cost of Collecting Postage Due on UAA Mail at the Window</t>
  </si>
  <si>
    <t>Table 3.35 - Postage Due Volume Flows, PARS and Non-PARS Pieces</t>
  </si>
  <si>
    <t>Table 3.36 - Cost of Processing Form 3546</t>
  </si>
  <si>
    <t xml:space="preserve">Table 3.37 - Address Correction Service Inputs </t>
  </si>
  <si>
    <t>Table 3.40 - Mail Processing Costs for Forms</t>
  </si>
  <si>
    <t>Table 3.41 - Address Correction Service, Manual Notice Unit Cost</t>
  </si>
  <si>
    <t>Table 3.42 - Summary of Volume Flows (000)</t>
  </si>
  <si>
    <t>(1) Based on unit cost proxies from Table 3.29.</t>
  </si>
  <si>
    <t>Table 3.38 - Distribution of Form 3547 by Notification Method and Location</t>
  </si>
  <si>
    <t>Forms Based on Letters</t>
  </si>
  <si>
    <t>Previously Processed at CFS (3)</t>
  </si>
  <si>
    <t>Previously Processed at Nixie Unit (3)</t>
  </si>
  <si>
    <t>Total Forms Based on Letters</t>
  </si>
  <si>
    <t>Form 3547 Type</t>
  </si>
  <si>
    <t>Volume (000) (1)</t>
  </si>
  <si>
    <t>Volume (000) (2)</t>
  </si>
  <si>
    <t>Forms Based on Non-Letters</t>
  </si>
  <si>
    <t>Processed at CFS Unit</t>
  </si>
  <si>
    <t>Processed at Nixie Unit</t>
  </si>
  <si>
    <t>Total Forms Based on Non-Letters</t>
  </si>
  <si>
    <t>Forms Previously Processed or</t>
  </si>
  <si>
    <t>Total Forms</t>
  </si>
  <si>
    <t>(3)  In a PARS environment, the pieces for these forms are identified on the CIOSS machine.</t>
  </si>
  <si>
    <t xml:space="preserve">      The forms themselves are generated at NCSC.</t>
  </si>
  <si>
    <t>Form 3547 Volume - CFS/CIOSS</t>
  </si>
  <si>
    <t>Form 3547 Volume - Nixie</t>
  </si>
  <si>
    <t>Form 3579 Volume - CFS</t>
  </si>
  <si>
    <t>Form 3579 Volume - Nixie</t>
  </si>
  <si>
    <t>Form 3547 - From CFS</t>
  </si>
  <si>
    <t>Form 3547 - From NCSC</t>
  </si>
  <si>
    <r>
      <t xml:space="preserve">Total Mailstream Processing </t>
    </r>
    <r>
      <rPr>
        <u/>
        <sz val="10"/>
        <rFont val="Arial"/>
        <family val="2"/>
      </rPr>
      <t>Cost per Mailpiece</t>
    </r>
  </si>
  <si>
    <t>Forms Generated at CIOSS/NCSC</t>
  </si>
  <si>
    <t>1. CIOSS/NCSC</t>
  </si>
  <si>
    <t>Forms Generated at CFS Units/Nixie Units</t>
  </si>
  <si>
    <t>2. Nixie Unit</t>
  </si>
  <si>
    <t>3. Mailstream</t>
  </si>
  <si>
    <t>4. Accountable Mail Clerk</t>
  </si>
  <si>
    <t>5. Carrier Delivery/Collection of Postage Due</t>
  </si>
  <si>
    <t>Total Form 3547 - CFS/Nixie ---&gt;</t>
  </si>
  <si>
    <t>1. CIOSS/NCSC &amp; CFS</t>
  </si>
  <si>
    <t>(6) Forms generated at CIOSS/NCSC are not consolidated into envelopes.</t>
  </si>
  <si>
    <t>(2) CIOSS/NCSC operations require no clerk work to generate address correction forms.</t>
  </si>
  <si>
    <t>(3) Refer to Table 3.40.  CIOSS/NCSC forms have a lower unit cost due to presorting.</t>
  </si>
  <si>
    <t>(9) Forms consolidated into envelopes.  Refer to Table 3.40 for factor.</t>
  </si>
  <si>
    <t>Table 3.11 - Cost of Form 3547: Part 2 - Forms Generated at CFS Units/Nixie Units</t>
  </si>
  <si>
    <t>Forms Generated at CFS Units and Nixie Units</t>
  </si>
  <si>
    <t>Total Form 3579</t>
  </si>
  <si>
    <t>(2) Refer to Table 3.40.</t>
  </si>
  <si>
    <t>(4) Refer to Table 3.39.</t>
  </si>
  <si>
    <t>(6) Forms consolidated into envelopes.  Refer to Table 3.40 for factor.</t>
  </si>
  <si>
    <t>Table 3.39 - Distribution of Form 3579 by Location</t>
  </si>
  <si>
    <t>Table 3.43 - Address Correction Service, Address Change Service (ACS) Electronic Notice Unit Cost Derivation</t>
  </si>
  <si>
    <t>Nixie Clerk Handling</t>
  </si>
  <si>
    <t>Electronic Notice Processing</t>
  </si>
  <si>
    <t>ACS COA Mail Activities at CIOSS/REC/CFS (10)</t>
  </si>
  <si>
    <t>ACS Nixie Mail Activities at CIOSS/REC/CFS (10)</t>
  </si>
  <si>
    <t>ACS Nixie Mail Activities at Nixie Unit (11)</t>
  </si>
  <si>
    <t>Manual Notice Processing (12)</t>
  </si>
  <si>
    <t>Table 3.44 - Address Correction Service, Address Change Service (ACS) Electronic Notice Unit Cost Derivation</t>
  </si>
  <si>
    <t>acs processing costs ---&gt;</t>
  </si>
  <si>
    <t>(1) Refer to Table 3.37.</t>
  </si>
  <si>
    <t>(4) Excludes activities associated with ACS nixie mail.</t>
  </si>
  <si>
    <t>(5) Excludes keying of Address Change Service (ACS) participant and keyline codes.</t>
  </si>
  <si>
    <t>Plant-Intercepted Old COA RTS (1)</t>
  </si>
  <si>
    <t>(1) Old COA mail (COA age 13-18 months) that is intercepted and returned.</t>
  </si>
  <si>
    <t>(17) Refer to Table 3.18 after subtracting out plant-intercepted old COA returned mail.</t>
  </si>
  <si>
    <t>CFS/CIOSS, Mail Process &amp; Trans</t>
  </si>
  <si>
    <t>Address Change Service (ACS) Nixie Mail Activities (3)</t>
  </si>
  <si>
    <t>Address Change Service (ACS) Nixie Mail Activities</t>
  </si>
  <si>
    <t>1. Mechanized Terminal (8)</t>
  </si>
  <si>
    <t xml:space="preserve">   g.  ACS Volume (7)</t>
  </si>
  <si>
    <t xml:space="preserve">   h.  Non-ACS Volume (7)</t>
  </si>
  <si>
    <t>PARS Environment, FY 21</t>
  </si>
  <si>
    <t>(1) Based on FY 21 piggyback factors.</t>
  </si>
  <si>
    <t>(7) Refer to PARS 21 Baseline Cost Model, CFS Module.</t>
  </si>
  <si>
    <t>(8) Refer to PARS 21 Baseline Cost Model, Nixie Module.</t>
  </si>
  <si>
    <t>(4) Refer to PARS 21 Baseline Cost Model, Postage Due Module.</t>
  </si>
  <si>
    <t>(3) Refer to PARS 21 Baseline Cost Model, Postage Due Module.</t>
  </si>
  <si>
    <t>(5) Refer to PARS 21 Baseline Cost Model, CFS Module.</t>
  </si>
  <si>
    <t>(7) Refer to PARS 21 Baseline Cost Model, Nixie Module.</t>
  </si>
  <si>
    <t>(2) Based on FY 21 piggyback factors.</t>
  </si>
  <si>
    <t>(1) Refer to PARS 21 Baseline Cost Model, Route Module.</t>
  </si>
  <si>
    <t>(3) Based on FCS database 04 adjusted for PARS environment and FY 21 growth.  Refer to PARS 21 Baseline Cost Model, Route Module.</t>
  </si>
  <si>
    <t>(3) Refer to PARS 21 Baseline Cost Model, Route Module and CFS Module.</t>
  </si>
  <si>
    <t>(4) Refer to PARS 21 Baseline Cost Model, Mail Processing and Transportation Module.</t>
  </si>
  <si>
    <t>(1) Refer to PARS 21 Baseline Cost Model, Nixie Module.</t>
  </si>
  <si>
    <t>(3) Includes keying, loading, &amp; sweeping.  Refer to PARS 21 Baseline Cost Model, CFS Module.</t>
  </si>
  <si>
    <t>(1) Refer to PARS 21 Baseline Cost Model, CFS Module.</t>
  </si>
  <si>
    <t>(1) Refer to PARS 21 Baseline CFS Module.</t>
  </si>
  <si>
    <t>(1) Refer to FCS Database 04, USPS-LR-L-61.</t>
  </si>
  <si>
    <t>(2) Based on Delivery Unit Route Survey, USPS-LR-L-61.</t>
  </si>
  <si>
    <t>(3) Wrong extract code entered; piece rekeyed.  From CFS Unit Rekey Survey, USPS-LR-L-61.</t>
  </si>
  <si>
    <t>(4) Two or more labels generated for one piece.  From CFS Unit Rekey Survey, USPS-LR-L-61.</t>
  </si>
  <si>
    <t>(3) Based on FY 21 piggyback factors.</t>
  </si>
  <si>
    <t>(2) Refer to PARS 21 Baseline Cost Model, CIOSS Module.</t>
  </si>
  <si>
    <t>(2) Refer to PARS 21 Baseline Cost Model, REC Module.</t>
  </si>
  <si>
    <t>(1) Refer to PARS 21 Baseline Cost Model, REC Module.  CIOSS rejects excluded.</t>
  </si>
  <si>
    <t>(3) Based on CRA FY 21 C/S 14 First-Class Mail transportation (all shapes), USPS-LR-L-7.</t>
  </si>
  <si>
    <t>(1) Refer to PARS 21 Baseline Cost Model, Mail Processing and Transportation Module.  Savings associated with the obsolete automation portion of the RTS program are realized in the CIOSS and REC Modules.</t>
  </si>
  <si>
    <t>(1) Refer to PARS 21 Baseline Cost Model, Postage Due Module.</t>
  </si>
  <si>
    <t>(1) Refer to PARS 21 Baseline Cost Model, CIOSS Module.</t>
  </si>
  <si>
    <t>(2) Refer to PARS 21 Baseline Cost Model, Postage Due Module.</t>
  </si>
  <si>
    <t>(7) Based on FY 21 labor rates.</t>
  </si>
  <si>
    <t>(1) Developed from CFS Unit 3547 Batching Survey, USPS-LR-L-61.</t>
  </si>
  <si>
    <t>(5) Based on Delivery Unit Route Survey, USPS-LR-L-61, adjusted for TY 08 volume growth.</t>
  </si>
  <si>
    <t>(6) Based on Delivery Unit Nixie Survey, USPS-LR-L-61, adjusted for TY 08 volume growth.</t>
  </si>
  <si>
    <t>(2) Refer to the PARS 21 Baseline Cost Model, Route Module.</t>
  </si>
  <si>
    <t>(4)  Refer to PARS 21 Baseline Cost Model, Mail Processing and Transportation Module.</t>
  </si>
  <si>
    <t>FY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</si>
</sst>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164" formatCode="&quot;$&quot;#,##0.0000"/>
    <numFmt numFmtId="165" formatCode="&quot;$&quot;#,##0"/>
    <numFmt numFmtId="166" formatCode="0.000000"/>
    <numFmt numFmtId="167" formatCode="&quot;$&quot;#,##0.000000"/>
    <numFmt numFmtId="168" formatCode="0.0000"/>
    <numFmt numFmtId="169" formatCode="0.000"/>
    <numFmt numFmtId="170" formatCode="&quot;$&quot;#,##0.00000"/>
    <numFmt numFmtId="171" formatCode="&quot;$&quot;#,##0.000"/>
    <numFmt numFmtId="172" formatCode="&quot;$&quot;#,##0.00"/>
    <numFmt numFmtId="173" formatCode="#,##0.0"/>
    <numFmt numFmtId="174" formatCode="#,##0.000"/>
    <numFmt numFmtId="175" formatCode="0.0%"/>
    <numFmt numFmtId="176" formatCode="#,##0.0000"/>
    <numFmt numFmtId="177" formatCode="#,##0.00000"/>
    <numFmt numFmtId="178" formatCode="&quot;$&quot;#,##0.0;\(&quot;$&quot;#,##0.0\)"/>
    <numFmt numFmtId="179" formatCode="#,##0.0000000"/>
    <numFmt numFmtId="180" formatCode="#,##0.00000000"/>
    <numFmt numFmtId="181" formatCode="#,##0.000000000"/>
    <numFmt numFmtId="182" formatCode="#,##0.0000000000"/>
    <numFmt numFmtId="183" formatCode="&quot;$&quot;#,##0.0000000"/>
    <numFmt numFmtId="184" formatCode="0.000%"/>
    <numFmt numFmtId="185" formatCode="0.000000%"/>
  </numFmts>
  <fonts count="15" x14ac:knownFonts="1">
    <font>
      <sz val="10"/>
      <name val="Arial"/>
    </font>
    <font>
      <sz val="10"/>
      <name val="Arial"/>
      <family val="2"/>
    </font>
    <font>
      <sz val="10"/>
      <name val="Arial"/>
      <family val="2"/>
    </font>
    <font>
      <u/>
      <sz val="10"/>
      <name val="Arial"/>
      <family val="2"/>
    </font>
    <font>
      <b/>
      <sz val="10"/>
      <name val="Arial"/>
      <family val="2"/>
    </font>
    <font>
      <sz val="8"/>
      <name val="Arial"/>
      <family val="2"/>
    </font>
    <font>
      <u/>
      <sz val="10"/>
      <name val="Arial"/>
      <family val="2"/>
    </font>
    <font>
      <sz val="12"/>
      <name val="Helv"/>
    </font>
    <font>
      <sz val="10"/>
      <color indexed="12"/>
      <name val="Arial"/>
      <family val="2"/>
    </font>
    <font>
      <u/>
      <sz val="7.5"/>
      <name val="Arial"/>
      <family val="2"/>
    </font>
    <font>
      <b/>
      <u/>
      <sz val="10"/>
      <name val="Arial"/>
      <family val="2"/>
    </font>
    <font>
      <b/>
      <sz val="12"/>
      <name val="Arial"/>
      <family val="2"/>
    </font>
    <font>
      <b/>
      <sz val="14"/>
      <name val="Arial"/>
      <family val="2"/>
    </font>
    <font>
      <sz val="8"/>
      <color indexed="81"/>
      <name val="Tahoma"/>
      <family val="2"/>
    </font>
    <font>
      <b/>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42">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7" fillId="0" borderId="1" applyBorder="0"/>
    <xf numFmtId="180" fontId="1" fillId="0" borderId="0" applyFont="0" applyFill="0" applyBorder="0" applyAlignment="0" applyProtection="0"/>
    <xf numFmtId="182" fontId="1" fillId="0" borderId="0" applyFont="0" applyFill="0" applyBorder="0" applyAlignment="0" applyProtection="0"/>
    <xf numFmtId="179" fontId="1" fillId="0" borderId="0" applyFont="0" applyFill="0" applyBorder="0" applyAlignment="0" applyProtection="0"/>
    <xf numFmtId="181" fontId="1" fillId="0" borderId="0" applyFont="0" applyFill="0" applyBorder="0" applyAlignment="0" applyProtection="0"/>
    <xf numFmtId="178" fontId="1" fillId="0" borderId="0"/>
    <xf numFmtId="9" fontId="1" fillId="0" borderId="0" applyFont="0" applyFill="0" applyBorder="0" applyAlignment="0" applyProtection="0"/>
  </cellStyleXfs>
  <cellXfs count="615">
    <xf numFmtId="0" fontId="0" fillId="0" borderId="0" xfId="0"/>
    <xf numFmtId="0" fontId="2" fillId="0" borderId="0" xfId="0" applyFont="1" applyBorder="1" applyAlignment="1">
      <alignment horizontal="centerContinuous"/>
    </xf>
    <xf numFmtId="0" fontId="2" fillId="0" borderId="0" xfId="0" applyFont="1" applyBorder="1" applyAlignment="1">
      <alignment horizontal="left"/>
    </xf>
    <xf numFmtId="164" fontId="2" fillId="0" borderId="0" xfId="0" applyNumberFormat="1" applyFont="1" applyBorder="1" applyAlignment="1">
      <alignment horizontal="center" wrapText="1"/>
    </xf>
    <xf numFmtId="0" fontId="2" fillId="0" borderId="0" xfId="0" applyFont="1" applyBorder="1"/>
    <xf numFmtId="0" fontId="4" fillId="0" borderId="0" xfId="0" applyFont="1" applyBorder="1"/>
    <xf numFmtId="3" fontId="0" fillId="0" borderId="0" xfId="0" applyNumberFormat="1"/>
    <xf numFmtId="3" fontId="2" fillId="0" borderId="0" xfId="0" applyNumberFormat="1" applyFont="1" applyBorder="1" applyAlignment="1">
      <alignment wrapText="1"/>
    </xf>
    <xf numFmtId="164" fontId="3" fillId="0" borderId="0" xfId="0" applyNumberFormat="1" applyFont="1" applyBorder="1" applyAlignment="1">
      <alignment horizontal="center" wrapText="1"/>
    </xf>
    <xf numFmtId="164" fontId="2" fillId="0" borderId="0" xfId="0" quotePrefix="1" applyNumberFormat="1" applyFont="1" applyBorder="1" applyAlignment="1">
      <alignment horizontal="center" wrapText="1"/>
    </xf>
    <xf numFmtId="3" fontId="0" fillId="0" borderId="1" xfId="0" applyNumberFormat="1" applyBorder="1"/>
    <xf numFmtId="0" fontId="2" fillId="0" borderId="0" xfId="0" applyFont="1"/>
    <xf numFmtId="0" fontId="0" fillId="0" borderId="0" xfId="0" quotePrefix="1" applyAlignment="1">
      <alignment horizontal="left"/>
    </xf>
    <xf numFmtId="0" fontId="0" fillId="0" borderId="0" xfId="0" applyAlignment="1">
      <alignment horizontal="left"/>
    </xf>
    <xf numFmtId="0" fontId="0" fillId="0" borderId="0" xfId="0" applyAlignment="1">
      <alignment horizontal="right"/>
    </xf>
    <xf numFmtId="0" fontId="4" fillId="0" borderId="0" xfId="0" quotePrefix="1" applyFont="1" applyAlignment="1">
      <alignment horizontal="left"/>
    </xf>
    <xf numFmtId="0" fontId="4" fillId="0" borderId="0" xfId="0" applyFont="1"/>
    <xf numFmtId="0" fontId="4" fillId="0" borderId="0" xfId="0" applyFont="1" applyAlignment="1">
      <alignment horizontal="centerContinuous"/>
    </xf>
    <xf numFmtId="0" fontId="0" fillId="0" borderId="0" xfId="0" applyBorder="1"/>
    <xf numFmtId="0" fontId="4" fillId="0" borderId="0" xfId="0" applyFont="1" applyBorder="1" applyAlignment="1">
      <alignment horizontal="left"/>
    </xf>
    <xf numFmtId="0" fontId="2" fillId="0" borderId="0" xfId="0" quotePrefix="1" applyFont="1" applyBorder="1" applyAlignment="1">
      <alignment horizontal="left"/>
    </xf>
    <xf numFmtId="0" fontId="2" fillId="0" borderId="0" xfId="0" applyFont="1" applyAlignment="1">
      <alignment horizontal="left" indent="1"/>
    </xf>
    <xf numFmtId="171" fontId="0" fillId="0" borderId="0" xfId="0" applyNumberFormat="1"/>
    <xf numFmtId="0" fontId="2" fillId="0" borderId="0" xfId="0" applyFont="1" applyBorder="1" applyAlignment="1">
      <alignment horizontal="right"/>
    </xf>
    <xf numFmtId="0" fontId="2" fillId="0" borderId="0" xfId="0" applyFont="1" applyAlignment="1">
      <alignment horizontal="left"/>
    </xf>
    <xf numFmtId="0" fontId="2" fillId="0" borderId="0" xfId="0" quotePrefix="1" applyFont="1" applyAlignment="1">
      <alignment horizontal="left"/>
    </xf>
    <xf numFmtId="2" fontId="0" fillId="0" borderId="0" xfId="0" applyNumberFormat="1" applyBorder="1" applyAlignment="1">
      <alignment horizontal="right"/>
    </xf>
    <xf numFmtId="0" fontId="0" fillId="0" borderId="0" xfId="0" applyFill="1"/>
    <xf numFmtId="0" fontId="0" fillId="0" borderId="0" xfId="0" quotePrefix="1" applyAlignment="1">
      <alignment horizontal="left" indent="1"/>
    </xf>
    <xf numFmtId="10" fontId="0" fillId="0" borderId="0" xfId="0" applyNumberFormat="1"/>
    <xf numFmtId="3" fontId="0" fillId="0" borderId="1" xfId="0" applyNumberFormat="1" applyFill="1" applyBorder="1"/>
    <xf numFmtId="3" fontId="2" fillId="0" borderId="0" xfId="0" applyNumberFormat="1" applyFont="1" applyFill="1"/>
    <xf numFmtId="3" fontId="0" fillId="0" borderId="0" xfId="0" applyNumberFormat="1" applyFill="1"/>
    <xf numFmtId="172" fontId="0" fillId="0" borderId="0" xfId="0" applyNumberFormat="1" applyFill="1"/>
    <xf numFmtId="0" fontId="4" fillId="0" borderId="0" xfId="0" applyFont="1" applyAlignment="1">
      <alignment horizontal="center"/>
    </xf>
    <xf numFmtId="164" fontId="0" fillId="0" borderId="0" xfId="0" applyNumberFormat="1" applyFill="1"/>
    <xf numFmtId="0" fontId="2" fillId="0" borderId="0" xfId="0" applyFont="1" applyAlignment="1">
      <alignment horizontal="centerContinuous"/>
    </xf>
    <xf numFmtId="3" fontId="2" fillId="0" borderId="0" xfId="0" applyNumberFormat="1" applyFont="1" applyBorder="1"/>
    <xf numFmtId="164" fontId="2" fillId="0" borderId="0" xfId="0" applyNumberFormat="1" applyFont="1" applyBorder="1"/>
    <xf numFmtId="165" fontId="2" fillId="0" borderId="0" xfId="0" applyNumberFormat="1" applyFont="1" applyBorder="1"/>
    <xf numFmtId="3" fontId="2" fillId="0" borderId="0" xfId="0" applyNumberFormat="1" applyFont="1" applyBorder="1" applyAlignment="1">
      <alignment horizontal="right" wrapText="1"/>
    </xf>
    <xf numFmtId="164" fontId="2" fillId="0" borderId="0" xfId="0" applyNumberFormat="1" applyFont="1" applyBorder="1" applyAlignment="1">
      <alignment horizontal="right" wrapText="1"/>
    </xf>
    <xf numFmtId="165" fontId="2" fillId="0" borderId="0" xfId="0" applyNumberFormat="1" applyFont="1" applyBorder="1" applyAlignment="1">
      <alignment horizontal="right" wrapText="1"/>
    </xf>
    <xf numFmtId="0" fontId="2" fillId="0" borderId="0" xfId="0" applyFont="1" applyBorder="1" applyAlignment="1">
      <alignment horizontal="left" wrapText="1"/>
    </xf>
    <xf numFmtId="3" fontId="2" fillId="0" borderId="0"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Border="1" applyAlignment="1">
      <alignment horizontal="right"/>
    </xf>
    <xf numFmtId="0" fontId="2" fillId="0" borderId="0" xfId="0" applyFont="1" applyAlignment="1"/>
    <xf numFmtId="0" fontId="2" fillId="0" borderId="0" xfId="0" applyFont="1" applyAlignment="1">
      <alignment horizontal="right"/>
    </xf>
    <xf numFmtId="0" fontId="4" fillId="0" borderId="0" xfId="0" applyFont="1" applyAlignment="1">
      <alignment horizontal="left"/>
    </xf>
    <xf numFmtId="2" fontId="2" fillId="0" borderId="0" xfId="0" applyNumberFormat="1" applyFont="1" applyBorder="1"/>
    <xf numFmtId="0" fontId="2" fillId="0" borderId="0" xfId="0" applyFont="1" applyAlignment="1">
      <alignment horizontal="center"/>
    </xf>
    <xf numFmtId="165" fontId="2" fillId="0" borderId="0" xfId="0" applyNumberFormat="1" applyFont="1"/>
    <xf numFmtId="3" fontId="2" fillId="0" borderId="0" xfId="0" applyNumberFormat="1" applyFont="1"/>
    <xf numFmtId="175" fontId="2" fillId="0" borderId="0" xfId="0" applyNumberFormat="1" applyFont="1" applyFill="1" applyBorder="1" applyAlignment="1">
      <alignment horizontal="right" wrapText="1"/>
    </xf>
    <xf numFmtId="175" fontId="2" fillId="0" borderId="0" xfId="0" applyNumberFormat="1" applyFont="1" applyFill="1" applyBorder="1" applyAlignment="1">
      <alignment horizontal="right"/>
    </xf>
    <xf numFmtId="168" fontId="2" fillId="0" borderId="0" xfId="0" applyNumberFormat="1" applyFont="1" applyBorder="1" applyAlignment="1">
      <alignment horizontal="right" wrapText="1"/>
    </xf>
    <xf numFmtId="168" fontId="2" fillId="0" borderId="0" xfId="0" applyNumberFormat="1" applyFont="1" applyBorder="1" applyAlignment="1">
      <alignment horizontal="right"/>
    </xf>
    <xf numFmtId="0" fontId="2" fillId="0" borderId="0" xfId="0" applyFont="1" applyBorder="1" applyAlignment="1">
      <alignment wrapText="1"/>
    </xf>
    <xf numFmtId="168" fontId="2" fillId="0" borderId="0" xfId="0" applyNumberFormat="1" applyFont="1" applyAlignment="1">
      <alignment horizontal="centerContinuous"/>
    </xf>
    <xf numFmtId="172" fontId="2" fillId="0" borderId="0" xfId="0" applyNumberFormat="1" applyFont="1" applyAlignment="1">
      <alignment horizontal="centerContinuous"/>
    </xf>
    <xf numFmtId="164" fontId="2" fillId="0" borderId="0" xfId="0" applyNumberFormat="1" applyFont="1" applyAlignment="1">
      <alignment horizontal="centerContinuous"/>
    </xf>
    <xf numFmtId="168" fontId="2" fillId="0" borderId="0" xfId="0" applyNumberFormat="1" applyFont="1"/>
    <xf numFmtId="172" fontId="2" fillId="0" borderId="0" xfId="0" applyNumberFormat="1" applyFont="1"/>
    <xf numFmtId="164" fontId="2" fillId="0" borderId="0" xfId="0" applyNumberFormat="1" applyFont="1"/>
    <xf numFmtId="168" fontId="2" fillId="0" borderId="0" xfId="0" applyNumberFormat="1" applyFont="1" applyBorder="1"/>
    <xf numFmtId="0" fontId="2" fillId="0" borderId="0" xfId="0" applyFont="1" applyFill="1" applyBorder="1"/>
    <xf numFmtId="165" fontId="2" fillId="0" borderId="0" xfId="0" applyNumberFormat="1" applyFont="1" applyFill="1" applyBorder="1" applyAlignment="1">
      <alignment horizontal="right"/>
    </xf>
    <xf numFmtId="175" fontId="2" fillId="0" borderId="0" xfId="0" applyNumberFormat="1" applyFont="1" applyBorder="1" applyAlignment="1">
      <alignment horizontal="left" wrapText="1"/>
    </xf>
    <xf numFmtId="168" fontId="8" fillId="0" borderId="0" xfId="0" applyNumberFormat="1" applyFont="1" applyBorder="1"/>
    <xf numFmtId="165" fontId="8" fillId="0" borderId="0" xfId="0" applyNumberFormat="1" applyFont="1" applyBorder="1"/>
    <xf numFmtId="164" fontId="8" fillId="0" borderId="0" xfId="0" applyNumberFormat="1" applyFont="1" applyBorder="1"/>
    <xf numFmtId="175" fontId="2" fillId="0" borderId="0" xfId="0" applyNumberFormat="1" applyFont="1" applyBorder="1" applyAlignment="1">
      <alignment horizontal="right" wrapText="1"/>
    </xf>
    <xf numFmtId="2" fontId="2" fillId="0" borderId="0" xfId="0" applyNumberFormat="1" applyFont="1" applyAlignment="1">
      <alignment horizontal="centerContinuous"/>
    </xf>
    <xf numFmtId="10" fontId="2" fillId="0" borderId="0" xfId="0" applyNumberFormat="1" applyFont="1" applyFill="1" applyBorder="1" applyAlignment="1">
      <alignment horizontal="center" wrapText="1"/>
    </xf>
    <xf numFmtId="10" fontId="2" fillId="0" borderId="0" xfId="0" applyNumberFormat="1" applyFont="1" applyFill="1" applyBorder="1" applyAlignment="1">
      <alignment horizontal="right" wrapText="1"/>
    </xf>
    <xf numFmtId="10" fontId="2" fillId="0" borderId="0" xfId="0" applyNumberFormat="1" applyFont="1" applyFill="1" applyBorder="1" applyAlignment="1">
      <alignment horizontal="right"/>
    </xf>
    <xf numFmtId="2" fontId="2" fillId="0" borderId="0" xfId="0" applyNumberFormat="1" applyFont="1"/>
    <xf numFmtId="10" fontId="2" fillId="0" borderId="0" xfId="0" applyNumberFormat="1" applyFont="1" applyFill="1"/>
    <xf numFmtId="175" fontId="2" fillId="0" borderId="0" xfId="0" applyNumberFormat="1" applyFont="1" applyBorder="1" applyAlignment="1">
      <alignment horizontal="right"/>
    </xf>
    <xf numFmtId="175" fontId="2" fillId="0" borderId="0" xfId="0" applyNumberFormat="1" applyFont="1" applyBorder="1"/>
    <xf numFmtId="0" fontId="2" fillId="0" borderId="0" xfId="0" applyFont="1" applyAlignment="1">
      <alignment horizontal="left" indent="2"/>
    </xf>
    <xf numFmtId="0" fontId="2" fillId="0" borderId="0" xfId="0" quotePrefix="1" applyFont="1" applyAlignment="1">
      <alignment horizontal="left" indent="2"/>
    </xf>
    <xf numFmtId="171" fontId="2" fillId="0" borderId="0" xfId="0" applyNumberFormat="1" applyFont="1" applyBorder="1" applyAlignment="1">
      <alignment horizontal="right" wrapText="1"/>
    </xf>
    <xf numFmtId="170" fontId="2" fillId="0" borderId="0" xfId="0" applyNumberFormat="1" applyFont="1"/>
    <xf numFmtId="171" fontId="2" fillId="0" borderId="0" xfId="0" applyNumberFormat="1" applyFont="1" applyBorder="1" applyAlignment="1">
      <alignment horizontal="right"/>
    </xf>
    <xf numFmtId="171" fontId="2" fillId="0" borderId="0" xfId="0" applyNumberFormat="1" applyFont="1"/>
    <xf numFmtId="10" fontId="2" fillId="0" borderId="0" xfId="0" quotePrefix="1" applyNumberFormat="1" applyFont="1" applyFill="1" applyBorder="1" applyAlignment="1">
      <alignment horizontal="center" wrapText="1"/>
    </xf>
    <xf numFmtId="171" fontId="2" fillId="0" borderId="0" xfId="0" applyNumberFormat="1" applyFont="1" applyBorder="1"/>
    <xf numFmtId="0" fontId="2" fillId="0" borderId="0" xfId="0" quotePrefix="1" applyFont="1" applyAlignment="1">
      <alignment horizontal="left" indent="1"/>
    </xf>
    <xf numFmtId="10" fontId="2" fillId="0" borderId="0" xfId="0" applyNumberFormat="1" applyFont="1"/>
    <xf numFmtId="0" fontId="4" fillId="0" borderId="0" xfId="0" quotePrefix="1" applyFont="1" applyBorder="1" applyAlignment="1">
      <alignment horizontal="left"/>
    </xf>
    <xf numFmtId="171" fontId="2" fillId="0" borderId="0" xfId="0" applyNumberFormat="1" applyFont="1" applyAlignment="1">
      <alignment horizontal="right"/>
    </xf>
    <xf numFmtId="2" fontId="2" fillId="0" borderId="0" xfId="0" applyNumberFormat="1" applyFont="1" applyAlignment="1">
      <alignment horizontal="left"/>
    </xf>
    <xf numFmtId="168" fontId="2" fillId="0" borderId="0" xfId="0" applyNumberFormat="1" applyFont="1" applyAlignment="1">
      <alignment horizontal="left"/>
    </xf>
    <xf numFmtId="172" fontId="2" fillId="0" borderId="0" xfId="0" applyNumberFormat="1" applyFont="1" applyAlignment="1">
      <alignment horizontal="left"/>
    </xf>
    <xf numFmtId="164" fontId="2" fillId="0" borderId="0" xfId="0" applyNumberFormat="1" applyFont="1" applyAlignment="1">
      <alignment horizontal="left"/>
    </xf>
    <xf numFmtId="0" fontId="2" fillId="0" borderId="0" xfId="0" applyFont="1" applyBorder="1" applyAlignment="1">
      <alignment horizontal="left" indent="1"/>
    </xf>
    <xf numFmtId="0" fontId="2" fillId="0" borderId="0" xfId="0" quotePrefix="1" applyFont="1" applyBorder="1" applyAlignment="1">
      <alignment horizontal="left" indent="1"/>
    </xf>
    <xf numFmtId="0" fontId="2" fillId="0" borderId="0" xfId="0" applyFont="1" applyBorder="1" applyAlignment="1">
      <alignment horizontal="left" indent="2"/>
    </xf>
    <xf numFmtId="0" fontId="2" fillId="0" borderId="0" xfId="0" quotePrefix="1" applyFont="1" applyBorder="1" applyAlignment="1">
      <alignment horizontal="left" indent="2"/>
    </xf>
    <xf numFmtId="0" fontId="0" fillId="0" borderId="0" xfId="0" quotePrefix="1" applyBorder="1" applyAlignment="1">
      <alignment horizontal="left" wrapText="1" indent="1"/>
    </xf>
    <xf numFmtId="0" fontId="3" fillId="0" borderId="0" xfId="0" applyFont="1" applyBorder="1"/>
    <xf numFmtId="171" fontId="2" fillId="0" borderId="0" xfId="0" applyNumberFormat="1" applyFont="1" applyBorder="1" applyAlignment="1">
      <alignment horizontal="center"/>
    </xf>
    <xf numFmtId="175" fontId="2" fillId="0" borderId="0" xfId="0" applyNumberFormat="1" applyFont="1" applyFill="1" applyBorder="1" applyAlignment="1">
      <alignment horizontal="center" wrapText="1"/>
    </xf>
    <xf numFmtId="3" fontId="0" fillId="0" borderId="0" xfId="0" applyNumberFormat="1" applyAlignment="1">
      <alignment horizontal="right"/>
    </xf>
    <xf numFmtId="0" fontId="10" fillId="0" borderId="0" xfId="0" applyFont="1" applyAlignment="1">
      <alignment horizontal="right"/>
    </xf>
    <xf numFmtId="0" fontId="0" fillId="0" borderId="0" xfId="0" applyAlignment="1">
      <alignment horizontal="centerContinuous"/>
    </xf>
    <xf numFmtId="0" fontId="10" fillId="0" borderId="0" xfId="0" applyFont="1" applyAlignment="1">
      <alignment horizontal="centerContinuous"/>
    </xf>
    <xf numFmtId="10" fontId="2" fillId="0" borderId="0" xfId="0" applyNumberFormat="1" applyFont="1" applyBorder="1"/>
    <xf numFmtId="0" fontId="0" fillId="0" borderId="0" xfId="0" applyBorder="1" applyAlignment="1">
      <alignment horizontal="left" indent="1"/>
    </xf>
    <xf numFmtId="0" fontId="4" fillId="0" borderId="0" xfId="0" applyFont="1" applyAlignment="1">
      <alignment horizontal="left" indent="2"/>
    </xf>
    <xf numFmtId="0" fontId="0" fillId="0" borderId="0" xfId="0" quotePrefix="1" applyBorder="1" applyAlignment="1">
      <alignment horizontal="left" indent="1"/>
    </xf>
    <xf numFmtId="165" fontId="0" fillId="0" borderId="0" xfId="0" applyNumberFormat="1" applyBorder="1"/>
    <xf numFmtId="0" fontId="0" fillId="0" borderId="0" xfId="0" quotePrefix="1" applyBorder="1" applyAlignment="1">
      <alignment horizontal="left" wrapText="1" indent="2"/>
    </xf>
    <xf numFmtId="172" fontId="0" fillId="0" borderId="0" xfId="0" applyNumberFormat="1" applyBorder="1" applyAlignment="1">
      <alignment horizontal="right"/>
    </xf>
    <xf numFmtId="164" fontId="0" fillId="0" borderId="2" xfId="0" quotePrefix="1" applyNumberFormat="1" applyFill="1" applyBorder="1" applyAlignment="1">
      <alignment horizontal="center"/>
    </xf>
    <xf numFmtId="169" fontId="0" fillId="0" borderId="0" xfId="0" applyNumberFormat="1" applyAlignment="1">
      <alignment horizontal="right"/>
    </xf>
    <xf numFmtId="9" fontId="0" fillId="0" borderId="0" xfId="0" applyNumberFormat="1"/>
    <xf numFmtId="172" fontId="0" fillId="0" borderId="0" xfId="0" applyNumberFormat="1" applyFill="1" applyAlignment="1">
      <alignment horizontal="right"/>
    </xf>
    <xf numFmtId="170" fontId="0" fillId="0" borderId="0" xfId="0" applyNumberFormat="1"/>
    <xf numFmtId="171" fontId="0" fillId="0" borderId="0" xfId="0" applyNumberFormat="1" applyAlignment="1">
      <alignment horizontal="right"/>
    </xf>
    <xf numFmtId="0" fontId="0" fillId="2" borderId="0" xfId="0" applyFill="1" applyBorder="1"/>
    <xf numFmtId="0" fontId="0" fillId="2" borderId="0" xfId="0" applyFill="1" applyBorder="1" applyAlignment="1">
      <alignment horizontal="right"/>
    </xf>
    <xf numFmtId="174" fontId="0" fillId="2" borderId="0" xfId="0" applyNumberFormat="1" applyFill="1" applyBorder="1"/>
    <xf numFmtId="0" fontId="2" fillId="0" borderId="0" xfId="0" quotePrefix="1" applyFont="1" applyFill="1" applyBorder="1" applyAlignment="1">
      <alignment horizontal="left"/>
    </xf>
    <xf numFmtId="0" fontId="2" fillId="2" borderId="0" xfId="0" applyFont="1" applyFill="1"/>
    <xf numFmtId="0" fontId="2" fillId="2" borderId="0" xfId="0" applyFont="1" applyFill="1" applyAlignment="1">
      <alignment horizontal="right"/>
    </xf>
    <xf numFmtId="176" fontId="2" fillId="2" borderId="0" xfId="0" applyNumberFormat="1" applyFont="1" applyFill="1"/>
    <xf numFmtId="3" fontId="2" fillId="2" borderId="0" xfId="0" applyNumberFormat="1" applyFont="1" applyFill="1"/>
    <xf numFmtId="164" fontId="2" fillId="2" borderId="0" xfId="0" applyNumberFormat="1" applyFont="1" applyFill="1"/>
    <xf numFmtId="0" fontId="4" fillId="0" borderId="0" xfId="0" quotePrefix="1" applyFont="1" applyBorder="1" applyAlignment="1">
      <alignment horizontal="right"/>
    </xf>
    <xf numFmtId="0" fontId="0" fillId="2" borderId="0" xfId="0" applyFill="1"/>
    <xf numFmtId="176" fontId="0" fillId="2" borderId="0" xfId="0" applyNumberFormat="1" applyFill="1"/>
    <xf numFmtId="176" fontId="0" fillId="0" borderId="0" xfId="0" applyNumberFormat="1" applyFill="1"/>
    <xf numFmtId="3" fontId="2" fillId="0" borderId="0" xfId="0" applyNumberFormat="1" applyFont="1" applyAlignment="1">
      <alignment horizontal="right"/>
    </xf>
    <xf numFmtId="164" fontId="2" fillId="0" borderId="0" xfId="0" quotePrefix="1" applyNumberFormat="1" applyFont="1" applyAlignment="1">
      <alignment horizontal="left"/>
    </xf>
    <xf numFmtId="3" fontId="0" fillId="2" borderId="0" xfId="0" applyNumberFormat="1" applyFill="1"/>
    <xf numFmtId="177" fontId="2" fillId="2" borderId="0" xfId="0" applyNumberFormat="1" applyFont="1" applyFill="1"/>
    <xf numFmtId="176" fontId="2" fillId="2" borderId="0" xfId="0" applyNumberFormat="1" applyFont="1" applyFill="1" applyBorder="1"/>
    <xf numFmtId="0" fontId="2" fillId="0" borderId="0" xfId="0" applyFont="1" applyFill="1"/>
    <xf numFmtId="0" fontId="2" fillId="0" borderId="1" xfId="0" applyFont="1" applyBorder="1"/>
    <xf numFmtId="176" fontId="0" fillId="0" borderId="0" xfId="0" applyNumberFormat="1" applyAlignment="1">
      <alignment horizontal="right"/>
    </xf>
    <xf numFmtId="177" fontId="0" fillId="2" borderId="0" xfId="0" applyNumberFormat="1" applyFill="1"/>
    <xf numFmtId="0" fontId="2" fillId="0" borderId="1" xfId="0" quotePrefix="1" applyFont="1" applyBorder="1" applyAlignment="1">
      <alignment horizontal="left"/>
    </xf>
    <xf numFmtId="0" fontId="2" fillId="0" borderId="0" xfId="0" quotePrefix="1" applyFont="1" applyFill="1" applyAlignment="1">
      <alignment horizontal="left"/>
    </xf>
    <xf numFmtId="165" fontId="2" fillId="0" borderId="0" xfId="0" quotePrefix="1" applyNumberFormat="1" applyFont="1" applyBorder="1" applyAlignment="1">
      <alignment horizontal="right" wrapText="1"/>
    </xf>
    <xf numFmtId="165" fontId="0" fillId="0" borderId="0" xfId="0" applyNumberFormat="1" applyBorder="1" applyAlignment="1">
      <alignment horizontal="righ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0" xfId="0" applyFill="1" applyBorder="1"/>
    <xf numFmtId="164" fontId="2" fillId="0" borderId="6" xfId="0" applyNumberFormat="1" applyFont="1" applyBorder="1" applyAlignment="1">
      <alignment horizontal="center"/>
    </xf>
    <xf numFmtId="171" fontId="0" fillId="0" borderId="2" xfId="0" applyNumberFormat="1" applyFill="1" applyBorder="1"/>
    <xf numFmtId="171" fontId="2" fillId="0" borderId="2" xfId="0" applyNumberFormat="1" applyFont="1" applyFill="1" applyBorder="1"/>
    <xf numFmtId="164" fontId="2" fillId="0" borderId="7" xfId="0" applyNumberFormat="1" applyFont="1" applyBorder="1" applyAlignment="1">
      <alignment horizontal="center"/>
    </xf>
    <xf numFmtId="0" fontId="2" fillId="0" borderId="1" xfId="0" applyFont="1" applyBorder="1" applyAlignment="1">
      <alignment horizontal="center"/>
    </xf>
    <xf numFmtId="0" fontId="11" fillId="0" borderId="0" xfId="0" quotePrefix="1" applyFont="1" applyBorder="1" applyAlignment="1">
      <alignment horizontal="left"/>
    </xf>
    <xf numFmtId="0" fontId="11" fillId="0" borderId="0" xfId="0" quotePrefix="1" applyFont="1" applyAlignment="1">
      <alignment horizontal="left"/>
    </xf>
    <xf numFmtId="0" fontId="2" fillId="0" borderId="0" xfId="0" applyFont="1" applyBorder="1" applyAlignment="1">
      <alignment horizontal="right" wrapText="1"/>
    </xf>
    <xf numFmtId="0" fontId="2" fillId="0" borderId="0" xfId="0" quotePrefix="1" applyFont="1" applyBorder="1" applyAlignment="1">
      <alignment horizontal="right" wrapText="1"/>
    </xf>
    <xf numFmtId="0" fontId="3" fillId="0" borderId="0" xfId="0" applyFont="1" applyBorder="1" applyAlignment="1">
      <alignment horizontal="right" wrapText="1"/>
    </xf>
    <xf numFmtId="173" fontId="2" fillId="0" borderId="0" xfId="0" applyNumberFormat="1" applyFont="1"/>
    <xf numFmtId="10" fontId="2" fillId="0" borderId="0" xfId="7" applyNumberFormat="1" applyFont="1" applyBorder="1"/>
    <xf numFmtId="0" fontId="0" fillId="0" borderId="0" xfId="0" applyAlignment="1">
      <alignment horizontal="left" indent="1"/>
    </xf>
    <xf numFmtId="165" fontId="0" fillId="0" borderId="0" xfId="0" applyNumberFormat="1"/>
    <xf numFmtId="10" fontId="0" fillId="0" borderId="0" xfId="7" applyNumberFormat="1" applyFont="1"/>
    <xf numFmtId="0" fontId="12" fillId="0" borderId="0" xfId="0" applyFont="1" applyAlignment="1">
      <alignment horizontal="centerContinuous"/>
    </xf>
    <xf numFmtId="3" fontId="2" fillId="0" borderId="0" xfId="0" quotePrefix="1" applyNumberFormat="1" applyFont="1" applyBorder="1" applyAlignment="1">
      <alignment horizontal="right" wrapText="1"/>
    </xf>
    <xf numFmtId="164" fontId="3" fillId="0" borderId="0" xfId="0" quotePrefix="1" applyNumberFormat="1" applyFont="1" applyBorder="1" applyAlignment="1">
      <alignment horizontal="right" wrapText="1"/>
    </xf>
    <xf numFmtId="166" fontId="3" fillId="0" borderId="0" xfId="0" applyNumberFormat="1" applyFont="1" applyBorder="1" applyAlignment="1">
      <alignment horizontal="right" wrapText="1"/>
    </xf>
    <xf numFmtId="167" fontId="2" fillId="0" borderId="0" xfId="0" quotePrefix="1" applyNumberFormat="1" applyFont="1" applyBorder="1" applyAlignment="1">
      <alignment horizontal="right" wrapText="1"/>
    </xf>
    <xf numFmtId="171" fontId="2" fillId="0" borderId="1" xfId="0" applyNumberFormat="1" applyFont="1" applyBorder="1" applyAlignment="1">
      <alignment horizontal="right" wrapText="1"/>
    </xf>
    <xf numFmtId="171" fontId="4" fillId="0" borderId="0" xfId="0" applyNumberFormat="1" applyFont="1" applyBorder="1" applyAlignment="1">
      <alignment horizontal="right" wrapText="1"/>
    </xf>
    <xf numFmtId="165" fontId="2" fillId="0" borderId="1" xfId="0" applyNumberFormat="1" applyFont="1" applyBorder="1" applyAlignment="1">
      <alignment horizontal="right" wrapText="1"/>
    </xf>
    <xf numFmtId="165" fontId="0" fillId="0" borderId="0" xfId="0" applyNumberFormat="1" applyAlignment="1">
      <alignment horizontal="right"/>
    </xf>
    <xf numFmtId="164" fontId="2" fillId="0" borderId="0" xfId="0" quotePrefix="1" applyNumberFormat="1" applyFont="1" applyBorder="1" applyAlignment="1">
      <alignment horizontal="right" wrapText="1"/>
    </xf>
    <xf numFmtId="0" fontId="2" fillId="0" borderId="0" xfId="0" quotePrefix="1" applyFont="1" applyAlignment="1">
      <alignment horizontal="right" wrapText="1"/>
    </xf>
    <xf numFmtId="0" fontId="3" fillId="0" borderId="0" xfId="0" applyFont="1" applyAlignment="1">
      <alignment horizontal="right"/>
    </xf>
    <xf numFmtId="175" fontId="2" fillId="0" borderId="0" xfId="0" applyNumberFormat="1" applyFont="1" applyAlignment="1">
      <alignment horizontal="right"/>
    </xf>
    <xf numFmtId="171" fontId="2" fillId="0" borderId="0" xfId="0" applyNumberFormat="1" applyFont="1" applyFill="1" applyAlignment="1">
      <alignment horizontal="right"/>
    </xf>
    <xf numFmtId="10" fontId="2" fillId="0" borderId="0" xfId="0" applyNumberFormat="1" applyFont="1" applyAlignment="1">
      <alignment horizontal="right"/>
    </xf>
    <xf numFmtId="9" fontId="2" fillId="0" borderId="0" xfId="0" applyNumberFormat="1" applyFont="1" applyAlignment="1">
      <alignment horizontal="right"/>
    </xf>
    <xf numFmtId="0" fontId="3" fillId="0" borderId="0" xfId="0" quotePrefix="1" applyFont="1" applyBorder="1" applyAlignment="1">
      <alignment horizontal="right" wrapText="1"/>
    </xf>
    <xf numFmtId="3" fontId="2" fillId="0" borderId="0" xfId="0" applyNumberFormat="1" applyFont="1" applyBorder="1" applyAlignment="1"/>
    <xf numFmtId="172" fontId="2" fillId="0" borderId="0" xfId="0" applyNumberFormat="1" applyFont="1" applyBorder="1" applyAlignment="1">
      <alignment wrapText="1"/>
    </xf>
    <xf numFmtId="171" fontId="2" fillId="0" borderId="0" xfId="0" applyNumberFormat="1" applyFont="1" applyBorder="1" applyAlignment="1">
      <alignment wrapText="1"/>
    </xf>
    <xf numFmtId="171" fontId="2" fillId="0" borderId="0" xfId="0" applyNumberFormat="1" applyFont="1" applyBorder="1" applyAlignment="1"/>
    <xf numFmtId="0" fontId="2" fillId="0" borderId="0" xfId="0" applyFont="1" applyBorder="1" applyAlignment="1"/>
    <xf numFmtId="168" fontId="2" fillId="0" borderId="0" xfId="0" quotePrefix="1" applyNumberFormat="1" applyFont="1" applyBorder="1" applyAlignment="1">
      <alignment horizontal="right" wrapText="1"/>
    </xf>
    <xf numFmtId="0" fontId="2" fillId="0" borderId="0" xfId="0" quotePrefix="1" applyFont="1" applyFill="1" applyBorder="1" applyAlignment="1">
      <alignment horizontal="right" wrapText="1"/>
    </xf>
    <xf numFmtId="165" fontId="2" fillId="0" borderId="0" xfId="0" applyNumberFormat="1" applyFont="1" applyBorder="1" applyAlignment="1"/>
    <xf numFmtId="175" fontId="2" fillId="0" borderId="0" xfId="0" applyNumberFormat="1" applyFont="1" applyBorder="1" applyAlignment="1">
      <alignment wrapText="1"/>
    </xf>
    <xf numFmtId="165" fontId="2" fillId="0" borderId="0" xfId="0" applyNumberFormat="1" applyFont="1" applyBorder="1" applyAlignment="1">
      <alignment wrapText="1"/>
    </xf>
    <xf numFmtId="164" fontId="2" fillId="0" borderId="0" xfId="0" applyNumberFormat="1" applyFont="1" applyBorder="1" applyAlignment="1"/>
    <xf numFmtId="175" fontId="2" fillId="0" borderId="0" xfId="0" applyNumberFormat="1" applyFont="1" applyBorder="1" applyAlignment="1"/>
    <xf numFmtId="165" fontId="2" fillId="0" borderId="0" xfId="0" applyNumberFormat="1" applyFont="1" applyAlignment="1">
      <alignment horizontal="right"/>
    </xf>
    <xf numFmtId="3" fontId="2" fillId="0" borderId="0" xfId="0" applyNumberFormat="1" applyFont="1" applyFill="1" applyAlignment="1">
      <alignment horizontal="right"/>
    </xf>
    <xf numFmtId="164" fontId="3" fillId="0" borderId="0" xfId="0" applyNumberFormat="1" applyFont="1" applyBorder="1" applyAlignment="1">
      <alignment horizontal="right" wrapText="1"/>
    </xf>
    <xf numFmtId="10" fontId="2" fillId="0" borderId="0" xfId="0" quotePrefix="1" applyNumberFormat="1" applyFont="1" applyFill="1" applyBorder="1" applyAlignment="1">
      <alignment horizontal="right" wrapText="1"/>
    </xf>
    <xf numFmtId="3" fontId="6" fillId="0" borderId="0" xfId="0" applyNumberFormat="1" applyFont="1" applyAlignment="1">
      <alignment horizontal="right"/>
    </xf>
    <xf numFmtId="171" fontId="3" fillId="0" borderId="0" xfId="0" applyNumberFormat="1" applyFont="1" applyBorder="1" applyAlignment="1">
      <alignment horizontal="right" wrapText="1"/>
    </xf>
    <xf numFmtId="164" fontId="2" fillId="0" borderId="0" xfId="0" applyNumberFormat="1" applyFont="1" applyAlignment="1">
      <alignment horizontal="right"/>
    </xf>
    <xf numFmtId="10" fontId="2" fillId="0" borderId="0" xfId="0" applyNumberFormat="1" applyFont="1" applyFill="1" applyAlignment="1">
      <alignment horizontal="right"/>
    </xf>
    <xf numFmtId="165" fontId="3" fillId="0" borderId="0" xfId="0" applyNumberFormat="1" applyFont="1" applyBorder="1" applyAlignment="1">
      <alignment horizontal="right" wrapText="1"/>
    </xf>
    <xf numFmtId="165" fontId="3" fillId="0" borderId="0" xfId="0" quotePrefix="1" applyNumberFormat="1" applyFont="1" applyBorder="1" applyAlignment="1">
      <alignment horizontal="right" wrapText="1"/>
    </xf>
    <xf numFmtId="2" fontId="0" fillId="0" borderId="0" xfId="0" applyNumberFormat="1" applyAlignment="1">
      <alignment horizontal="right"/>
    </xf>
    <xf numFmtId="175" fontId="0" fillId="0" borderId="0" xfId="7" applyNumberFormat="1" applyFont="1" applyAlignment="1">
      <alignment horizontal="right"/>
    </xf>
    <xf numFmtId="2" fontId="2" fillId="0" borderId="0" xfId="0" applyNumberFormat="1" applyFont="1" applyAlignment="1">
      <alignment horizontal="right"/>
    </xf>
    <xf numFmtId="2" fontId="10" fillId="0" borderId="0" xfId="0" applyNumberFormat="1" applyFont="1" applyAlignment="1">
      <alignment horizontal="right"/>
    </xf>
    <xf numFmtId="174" fontId="2" fillId="0" borderId="0" xfId="0" applyNumberFormat="1" applyFont="1" applyAlignment="1">
      <alignment horizontal="center"/>
    </xf>
    <xf numFmtId="171" fontId="2" fillId="0" borderId="0" xfId="0" applyNumberFormat="1" applyFont="1" applyAlignment="1"/>
    <xf numFmtId="165" fontId="2" fillId="0" borderId="0" xfId="0" applyNumberFormat="1" applyFont="1" applyAlignment="1"/>
    <xf numFmtId="2" fontId="2" fillId="0" borderId="0" xfId="0" applyNumberFormat="1" applyFont="1" applyBorder="1" applyAlignment="1"/>
    <xf numFmtId="2" fontId="2" fillId="0" borderId="0" xfId="0" applyNumberFormat="1" applyFont="1" applyAlignment="1"/>
    <xf numFmtId="172" fontId="2" fillId="0" borderId="0" xfId="0" applyNumberFormat="1" applyFont="1" applyAlignment="1"/>
    <xf numFmtId="164" fontId="2" fillId="0" borderId="0" xfId="0" applyNumberFormat="1" applyFont="1" applyAlignment="1"/>
    <xf numFmtId="172" fontId="2" fillId="0" borderId="0" xfId="0" applyNumberFormat="1" applyFont="1" applyBorder="1" applyAlignment="1"/>
    <xf numFmtId="168" fontId="2" fillId="0" borderId="0" xfId="0" applyNumberFormat="1" applyFont="1" applyAlignment="1"/>
    <xf numFmtId="3" fontId="0" fillId="0" borderId="0" xfId="0" applyNumberFormat="1" applyBorder="1" applyAlignment="1">
      <alignment horizontal="center"/>
    </xf>
    <xf numFmtId="0" fontId="0" fillId="0" borderId="0" xfId="0" quotePrefix="1" applyBorder="1" applyAlignment="1">
      <alignment horizontal="right" wrapText="1"/>
    </xf>
    <xf numFmtId="0" fontId="0" fillId="0" borderId="0" xfId="0" applyBorder="1" applyAlignment="1">
      <alignment horizontal="right"/>
    </xf>
    <xf numFmtId="0" fontId="0" fillId="0" borderId="0" xfId="0" quotePrefix="1" applyFill="1" applyBorder="1" applyAlignment="1">
      <alignment horizontal="right" wrapText="1"/>
    </xf>
    <xf numFmtId="3" fontId="0" fillId="0" borderId="0" xfId="0" applyNumberFormat="1" applyBorder="1" applyAlignment="1">
      <alignment horizontal="right"/>
    </xf>
    <xf numFmtId="171" fontId="0" fillId="0" borderId="0" xfId="0" applyNumberFormat="1" applyBorder="1" applyAlignment="1">
      <alignment horizontal="right"/>
    </xf>
    <xf numFmtId="175" fontId="0" fillId="0" borderId="0" xfId="0" applyNumberFormat="1" applyBorder="1" applyAlignment="1">
      <alignment horizontal="right" wrapText="1"/>
    </xf>
    <xf numFmtId="175" fontId="0" fillId="0" borderId="0" xfId="0" applyNumberFormat="1" applyBorder="1" applyAlignment="1">
      <alignment horizontal="right"/>
    </xf>
    <xf numFmtId="10" fontId="3" fillId="0" borderId="0" xfId="0" quotePrefix="1" applyNumberFormat="1" applyFont="1" applyBorder="1" applyAlignment="1">
      <alignment horizontal="right"/>
    </xf>
    <xf numFmtId="10" fontId="2" fillId="0" borderId="0" xfId="0" applyNumberFormat="1" applyFont="1" applyBorder="1" applyAlignment="1">
      <alignment horizontal="right"/>
    </xf>
    <xf numFmtId="0" fontId="2" fillId="0" borderId="8" xfId="0" quotePrefix="1"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164" fontId="2" fillId="0" borderId="7" xfId="0" applyNumberFormat="1" applyFont="1" applyBorder="1" applyAlignment="1">
      <alignment horizontal="right"/>
    </xf>
    <xf numFmtId="164" fontId="2" fillId="0" borderId="6" xfId="0" quotePrefix="1" applyNumberFormat="1" applyFont="1" applyBorder="1" applyAlignment="1">
      <alignment horizontal="right"/>
    </xf>
    <xf numFmtId="174" fontId="0" fillId="0" borderId="0" xfId="0" applyNumberFormat="1"/>
    <xf numFmtId="2" fontId="2" fillId="0" borderId="0" xfId="0" applyNumberFormat="1" applyFont="1" applyBorder="1" applyAlignment="1">
      <alignment horizontal="center"/>
    </xf>
    <xf numFmtId="2" fontId="3" fillId="0" borderId="0" xfId="0" applyNumberFormat="1" applyFont="1" applyAlignment="1">
      <alignment horizontal="right"/>
    </xf>
    <xf numFmtId="2" fontId="10" fillId="0" borderId="0" xfId="0" applyNumberFormat="1" applyFont="1" applyAlignment="1">
      <alignment horizontal="centerContinuous"/>
    </xf>
    <xf numFmtId="2" fontId="0" fillId="0" borderId="0" xfId="0" applyNumberFormat="1" applyAlignment="1">
      <alignment horizontal="centerContinuous"/>
    </xf>
    <xf numFmtId="0" fontId="0" fillId="0" borderId="0" xfId="0" quotePrefix="1" applyAlignment="1">
      <alignment horizontal="left" indent="2"/>
    </xf>
    <xf numFmtId="177" fontId="0" fillId="0" borderId="0" xfId="0" applyNumberFormat="1" applyFill="1"/>
    <xf numFmtId="0" fontId="0" fillId="0" borderId="0" xfId="0" quotePrefix="1" applyFill="1" applyAlignment="1">
      <alignment horizontal="left"/>
    </xf>
    <xf numFmtId="176" fontId="2" fillId="0" borderId="0" xfId="0" applyNumberFormat="1" applyFont="1" applyAlignment="1">
      <alignment horizontal="right"/>
    </xf>
    <xf numFmtId="164" fontId="2" fillId="0" borderId="0" xfId="0" applyNumberFormat="1" applyFont="1" applyFill="1" applyBorder="1"/>
    <xf numFmtId="10" fontId="2" fillId="0" borderId="0" xfId="0" applyNumberFormat="1" applyFont="1" applyFill="1" applyBorder="1"/>
    <xf numFmtId="171" fontId="2" fillId="0" borderId="0" xfId="0" applyNumberFormat="1" applyFont="1" applyFill="1" applyBorder="1" applyAlignment="1">
      <alignment horizontal="center"/>
    </xf>
    <xf numFmtId="0" fontId="0" fillId="0" borderId="11" xfId="0" applyBorder="1" applyAlignment="1">
      <alignment horizontal="center"/>
    </xf>
    <xf numFmtId="0" fontId="0" fillId="0" borderId="9" xfId="0" applyBorder="1"/>
    <xf numFmtId="0" fontId="0" fillId="0" borderId="12" xfId="0" applyBorder="1" applyAlignment="1">
      <alignment horizontal="center"/>
    </xf>
    <xf numFmtId="0" fontId="0" fillId="0" borderId="8" xfId="0" applyBorder="1" applyAlignment="1">
      <alignment horizontal="center"/>
    </xf>
    <xf numFmtId="0" fontId="4" fillId="0" borderId="6" xfId="0" applyFont="1" applyFill="1" applyBorder="1"/>
    <xf numFmtId="164" fontId="4" fillId="0" borderId="2" xfId="0" applyNumberFormat="1" applyFont="1" applyFill="1" applyBorder="1" applyAlignment="1">
      <alignment horizontal="center"/>
    </xf>
    <xf numFmtId="0" fontId="4" fillId="0" borderId="13" xfId="0" applyFont="1" applyFill="1" applyBorder="1" applyAlignment="1">
      <alignment horizontal="center"/>
    </xf>
    <xf numFmtId="0" fontId="4" fillId="0" borderId="2" xfId="0" applyFont="1" applyFill="1" applyBorder="1"/>
    <xf numFmtId="164" fontId="0" fillId="0" borderId="2" xfId="0" applyNumberFormat="1" applyFill="1" applyBorder="1"/>
    <xf numFmtId="164" fontId="0" fillId="0" borderId="2" xfId="0" applyNumberFormat="1" applyFill="1" applyBorder="1" applyAlignment="1">
      <alignment horizontal="center"/>
    </xf>
    <xf numFmtId="0" fontId="0" fillId="0" borderId="13" xfId="0" applyFill="1" applyBorder="1"/>
    <xf numFmtId="0" fontId="0" fillId="0" borderId="2" xfId="0" applyFill="1" applyBorder="1"/>
    <xf numFmtId="0" fontId="4" fillId="0" borderId="12" xfId="0" applyFont="1" applyFill="1" applyBorder="1"/>
    <xf numFmtId="9" fontId="0" fillId="0" borderId="2" xfId="0" applyNumberFormat="1" applyFill="1" applyBorder="1" applyAlignment="1">
      <alignment horizontal="center"/>
    </xf>
    <xf numFmtId="171" fontId="0" fillId="0" borderId="13" xfId="0" applyNumberFormat="1" applyFill="1" applyBorder="1"/>
    <xf numFmtId="0" fontId="2" fillId="0" borderId="2" xfId="0" applyFont="1" applyFill="1" applyBorder="1"/>
    <xf numFmtId="172" fontId="0" fillId="0" borderId="13" xfId="0" applyNumberFormat="1" applyFill="1" applyBorder="1"/>
    <xf numFmtId="10" fontId="0" fillId="0" borderId="2" xfId="0" applyNumberFormat="1" applyFill="1" applyBorder="1" applyAlignment="1">
      <alignment horizontal="center"/>
    </xf>
    <xf numFmtId="171" fontId="2" fillId="0" borderId="13" xfId="0" applyNumberFormat="1" applyFont="1" applyFill="1" applyBorder="1"/>
    <xf numFmtId="0" fontId="4" fillId="0" borderId="7" xfId="0" applyFont="1" applyFill="1" applyBorder="1"/>
    <xf numFmtId="171" fontId="0" fillId="0" borderId="7" xfId="0" applyNumberFormat="1" applyFill="1" applyBorder="1"/>
    <xf numFmtId="164" fontId="0" fillId="0" borderId="7" xfId="0" applyNumberFormat="1" applyFill="1" applyBorder="1" applyAlignment="1">
      <alignment horizontal="center"/>
    </xf>
    <xf numFmtId="171" fontId="4" fillId="0" borderId="7" xfId="0" applyNumberFormat="1" applyFont="1" applyFill="1" applyBorder="1"/>
    <xf numFmtId="0" fontId="0" fillId="0" borderId="6" xfId="0" applyFill="1" applyBorder="1" applyAlignment="1">
      <alignment horizontal="center"/>
    </xf>
    <xf numFmtId="0" fontId="0" fillId="0" borderId="6" xfId="0" applyFill="1" applyBorder="1"/>
    <xf numFmtId="171" fontId="0" fillId="0" borderId="6" xfId="0" applyNumberFormat="1" applyFill="1" applyBorder="1"/>
    <xf numFmtId="9" fontId="0" fillId="0" borderId="2" xfId="0" applyNumberFormat="1" applyFill="1" applyBorder="1"/>
    <xf numFmtId="0" fontId="0" fillId="0" borderId="7" xfId="0" applyFill="1" applyBorder="1"/>
    <xf numFmtId="9" fontId="0" fillId="0" borderId="7" xfId="0" applyNumberFormat="1" applyFill="1" applyBorder="1"/>
    <xf numFmtId="171" fontId="0" fillId="0" borderId="0" xfId="0" applyNumberFormat="1" applyFill="1" applyBorder="1"/>
    <xf numFmtId="9" fontId="0" fillId="0" borderId="0" xfId="0" applyNumberFormat="1" applyFill="1" applyBorder="1"/>
    <xf numFmtId="9" fontId="2" fillId="0" borderId="6" xfId="0" applyNumberFormat="1" applyFont="1" applyFill="1" applyBorder="1" applyAlignment="1">
      <alignment horizontal="center"/>
    </xf>
    <xf numFmtId="171" fontId="2" fillId="0" borderId="6" xfId="0" quotePrefix="1" applyNumberFormat="1" applyFont="1" applyFill="1" applyBorder="1" applyAlignment="1">
      <alignment horizontal="right"/>
    </xf>
    <xf numFmtId="9" fontId="2" fillId="0" borderId="7" xfId="0" applyNumberFormat="1" applyFont="1" applyFill="1" applyBorder="1" applyAlignment="1">
      <alignment horizontal="center"/>
    </xf>
    <xf numFmtId="2" fontId="0" fillId="0" borderId="2" xfId="0" applyNumberFormat="1" applyFill="1" applyBorder="1"/>
    <xf numFmtId="10" fontId="0" fillId="0" borderId="7" xfId="0" applyNumberFormat="1" applyFill="1" applyBorder="1"/>
    <xf numFmtId="3" fontId="2" fillId="0" borderId="1" xfId="0" applyNumberFormat="1" applyFont="1" applyBorder="1"/>
    <xf numFmtId="0" fontId="0" fillId="0" borderId="1" xfId="0" applyBorder="1"/>
    <xf numFmtId="0" fontId="0" fillId="0" borderId="0" xfId="0" applyFill="1" applyAlignment="1">
      <alignment horizontal="left"/>
    </xf>
    <xf numFmtId="3" fontId="2" fillId="0" borderId="0" xfId="0" quotePrefix="1" applyNumberFormat="1" applyFont="1" applyBorder="1" applyAlignment="1">
      <alignment horizontal="left"/>
    </xf>
    <xf numFmtId="171" fontId="2" fillId="0" borderId="0" xfId="0" quotePrefix="1" applyNumberFormat="1" applyFont="1" applyBorder="1" applyAlignment="1">
      <alignment horizontal="left"/>
    </xf>
    <xf numFmtId="0" fontId="3" fillId="0" borderId="0" xfId="0" quotePrefix="1" applyFont="1" applyAlignment="1">
      <alignment horizontal="right"/>
    </xf>
    <xf numFmtId="10" fontId="2" fillId="0" borderId="0" xfId="0" quotePrefix="1" applyNumberFormat="1" applyFont="1" applyAlignment="1">
      <alignment horizontal="left"/>
    </xf>
    <xf numFmtId="164" fontId="2" fillId="0" borderId="1" xfId="0" applyNumberFormat="1" applyFont="1" applyBorder="1" applyAlignment="1">
      <alignment horizontal="right"/>
    </xf>
    <xf numFmtId="168" fontId="2" fillId="0" borderId="1" xfId="0" applyNumberFormat="1" applyFont="1" applyBorder="1"/>
    <xf numFmtId="165" fontId="2" fillId="0" borderId="1" xfId="0" applyNumberFormat="1" applyFont="1" applyBorder="1"/>
    <xf numFmtId="3" fontId="0" fillId="0" borderId="0" xfId="0" quotePrefix="1" applyNumberFormat="1" applyAlignment="1">
      <alignment horizontal="left"/>
    </xf>
    <xf numFmtId="164" fontId="2" fillId="0" borderId="1" xfId="0" applyNumberFormat="1" applyFont="1" applyBorder="1"/>
    <xf numFmtId="2" fontId="0" fillId="0" borderId="0" xfId="0" quotePrefix="1" applyNumberFormat="1" applyAlignment="1">
      <alignment horizontal="left"/>
    </xf>
    <xf numFmtId="168" fontId="2" fillId="0" borderId="1" xfId="0" quotePrefix="1" applyNumberFormat="1" applyFont="1" applyFill="1" applyBorder="1" applyAlignment="1">
      <alignment horizontal="right"/>
    </xf>
    <xf numFmtId="176" fontId="2" fillId="0" borderId="1" xfId="0" applyNumberFormat="1" applyFont="1" applyFill="1" applyBorder="1"/>
    <xf numFmtId="172" fontId="2" fillId="0" borderId="1" xfId="0" applyNumberFormat="1" applyFont="1" applyBorder="1"/>
    <xf numFmtId="2" fontId="2" fillId="0" borderId="1" xfId="0" applyNumberFormat="1" applyFont="1" applyBorder="1"/>
    <xf numFmtId="3" fontId="0" fillId="0" borderId="0" xfId="0" quotePrefix="1" applyNumberFormat="1" applyBorder="1" applyAlignment="1">
      <alignment horizontal="left"/>
    </xf>
    <xf numFmtId="172" fontId="0" fillId="0" borderId="0" xfId="0" quotePrefix="1" applyNumberFormat="1" applyBorder="1" applyAlignment="1">
      <alignment horizontal="left"/>
    </xf>
    <xf numFmtId="0" fontId="3" fillId="0" borderId="0" xfId="0" quotePrefix="1" applyFont="1" applyBorder="1" applyAlignment="1">
      <alignment horizontal="right"/>
    </xf>
    <xf numFmtId="0" fontId="2" fillId="0" borderId="1" xfId="0" applyFont="1" applyFill="1" applyBorder="1"/>
    <xf numFmtId="2" fontId="2" fillId="0" borderId="0" xfId="0" quotePrefix="1" applyNumberFormat="1" applyFont="1" applyBorder="1" applyAlignment="1">
      <alignment horizontal="left"/>
    </xf>
    <xf numFmtId="3" fontId="2" fillId="0" borderId="0" xfId="0" quotePrefix="1" applyNumberFormat="1" applyFont="1" applyAlignment="1">
      <alignment horizontal="left"/>
    </xf>
    <xf numFmtId="10" fontId="2" fillId="0" borderId="0" xfId="7" quotePrefix="1" applyNumberFormat="1" applyFont="1" applyBorder="1" applyAlignment="1">
      <alignment horizontal="left"/>
    </xf>
    <xf numFmtId="171" fontId="0" fillId="0" borderId="0" xfId="0" quotePrefix="1" applyNumberFormat="1" applyAlignment="1">
      <alignment horizontal="left"/>
    </xf>
    <xf numFmtId="0" fontId="11" fillId="0" borderId="0" xfId="0" quotePrefix="1" applyFont="1" applyBorder="1" applyAlignment="1">
      <alignment horizontal="left" indent="8"/>
    </xf>
    <xf numFmtId="164" fontId="2" fillId="0" borderId="9" xfId="0" applyNumberFormat="1" applyFont="1" applyBorder="1" applyAlignment="1">
      <alignment horizontal="center"/>
    </xf>
    <xf numFmtId="164" fontId="2" fillId="0" borderId="10" xfId="0" applyNumberFormat="1" applyFont="1" applyBorder="1" applyAlignment="1">
      <alignment horizontal="center"/>
    </xf>
    <xf numFmtId="164" fontId="4" fillId="0" borderId="13" xfId="0" applyNumberFormat="1" applyFont="1" applyFill="1" applyBorder="1" applyAlignment="1">
      <alignment horizontal="center"/>
    </xf>
    <xf numFmtId="164" fontId="0" fillId="0" borderId="13" xfId="0" applyNumberFormat="1" applyFill="1" applyBorder="1" applyAlignment="1">
      <alignment horizontal="center"/>
    </xf>
    <xf numFmtId="164" fontId="0" fillId="0" borderId="13" xfId="0" quotePrefix="1" applyNumberFormat="1" applyFill="1" applyBorder="1" applyAlignment="1">
      <alignment horizontal="center"/>
    </xf>
    <xf numFmtId="9" fontId="0" fillId="0" borderId="13" xfId="0" applyNumberFormat="1" applyFill="1" applyBorder="1" applyAlignment="1">
      <alignment horizontal="center"/>
    </xf>
    <xf numFmtId="10" fontId="0" fillId="0" borderId="13" xfId="0" applyNumberFormat="1" applyFill="1" applyBorder="1" applyAlignment="1">
      <alignment horizontal="center"/>
    </xf>
    <xf numFmtId="171" fontId="0" fillId="0" borderId="2" xfId="0" quotePrefix="1" applyNumberFormat="1" applyFill="1" applyBorder="1" applyAlignment="1">
      <alignment horizontal="left"/>
    </xf>
    <xf numFmtId="9" fontId="0" fillId="0" borderId="13" xfId="0" quotePrefix="1" applyNumberFormat="1" applyFill="1" applyBorder="1" applyAlignment="1">
      <alignment horizontal="left"/>
    </xf>
    <xf numFmtId="0" fontId="0" fillId="0" borderId="1" xfId="0" applyFill="1" applyBorder="1"/>
    <xf numFmtId="164" fontId="0" fillId="0" borderId="1" xfId="0" applyNumberFormat="1" applyFill="1" applyBorder="1"/>
    <xf numFmtId="0" fontId="2" fillId="0" borderId="1" xfId="0" quotePrefix="1" applyFont="1" applyBorder="1" applyAlignment="1">
      <alignment horizontal="right"/>
    </xf>
    <xf numFmtId="0" fontId="4" fillId="0" borderId="0" xfId="0" applyFont="1" applyAlignment="1"/>
    <xf numFmtId="0" fontId="0" fillId="0" borderId="2" xfId="0" quotePrefix="1" applyFill="1" applyBorder="1" applyAlignment="1">
      <alignment horizontal="left"/>
    </xf>
    <xf numFmtId="0" fontId="0" fillId="0" borderId="6" xfId="0" quotePrefix="1" applyFill="1" applyBorder="1" applyAlignment="1">
      <alignment horizontal="left"/>
    </xf>
    <xf numFmtId="0" fontId="4" fillId="0" borderId="0" xfId="0" quotePrefix="1" applyFont="1" applyAlignment="1">
      <alignment horizontal="right" vertical="center"/>
    </xf>
    <xf numFmtId="3" fontId="0" fillId="0" borderId="0" xfId="0" applyNumberFormat="1" applyBorder="1"/>
    <xf numFmtId="0" fontId="0" fillId="0" borderId="1" xfId="0" quotePrefix="1" applyBorder="1" applyAlignment="1">
      <alignment horizontal="left"/>
    </xf>
    <xf numFmtId="165" fontId="0" fillId="0" borderId="1" xfId="0" applyNumberFormat="1" applyBorder="1"/>
    <xf numFmtId="0" fontId="0" fillId="0" borderId="0" xfId="0" quotePrefix="1" applyBorder="1" applyAlignment="1">
      <alignment horizontal="left"/>
    </xf>
    <xf numFmtId="177" fontId="0" fillId="0" borderId="0" xfId="0" applyNumberFormat="1"/>
    <xf numFmtId="180" fontId="0" fillId="2" borderId="13" xfId="0" applyNumberFormat="1" applyFill="1" applyBorder="1"/>
    <xf numFmtId="180" fontId="0" fillId="2" borderId="10" xfId="0" applyNumberFormat="1" applyFill="1" applyBorder="1"/>
    <xf numFmtId="0" fontId="4" fillId="0" borderId="0" xfId="0" applyFont="1" applyFill="1" applyBorder="1" applyAlignment="1">
      <alignment horizontal="right"/>
    </xf>
    <xf numFmtId="0" fontId="4" fillId="0" borderId="0" xfId="0" applyFont="1" applyAlignment="1">
      <alignment horizontal="right"/>
    </xf>
    <xf numFmtId="0" fontId="4" fillId="0" borderId="0" xfId="0" quotePrefix="1" applyFont="1" applyFill="1" applyAlignment="1">
      <alignment horizontal="left"/>
    </xf>
    <xf numFmtId="0" fontId="2" fillId="0" borderId="0" xfId="0" quotePrefix="1" applyFont="1" applyBorder="1" applyAlignment="1">
      <alignment horizontal="right"/>
    </xf>
    <xf numFmtId="4" fontId="2" fillId="0" borderId="0" xfId="7" quotePrefix="1" applyNumberFormat="1" applyFont="1" applyBorder="1" applyAlignment="1"/>
    <xf numFmtId="10" fontId="0" fillId="0" borderId="0" xfId="0" applyNumberFormat="1" applyFill="1"/>
    <xf numFmtId="0" fontId="2" fillId="0" borderId="0" xfId="0" applyFont="1" applyAlignment="1">
      <alignment horizontal="left" indent="5"/>
    </xf>
    <xf numFmtId="0" fontId="2" fillId="0" borderId="0" xfId="0" quotePrefix="1" applyFont="1" applyAlignment="1">
      <alignment horizontal="left" indent="5"/>
    </xf>
    <xf numFmtId="168" fontId="2" fillId="2" borderId="0" xfId="0" applyNumberFormat="1" applyFont="1" applyFill="1"/>
    <xf numFmtId="175" fontId="0" fillId="0" borderId="0" xfId="0" applyNumberFormat="1" applyFill="1"/>
    <xf numFmtId="0" fontId="0" fillId="0" borderId="0" xfId="0" applyFill="1" applyBorder="1" applyAlignment="1">
      <alignment horizontal="left" indent="3"/>
    </xf>
    <xf numFmtId="0" fontId="2" fillId="0" borderId="0" xfId="0" applyFont="1" applyFill="1" applyAlignment="1">
      <alignment horizontal="right"/>
    </xf>
    <xf numFmtId="0" fontId="2" fillId="0" borderId="0" xfId="0" quotePrefix="1" applyFont="1" applyAlignment="1">
      <alignment horizontal="left" indent="4"/>
    </xf>
    <xf numFmtId="0" fontId="2" fillId="0" borderId="0" xfId="0" applyFont="1" applyAlignment="1">
      <alignment horizontal="left" indent="4"/>
    </xf>
    <xf numFmtId="14" fontId="0" fillId="0" borderId="0" xfId="0" applyNumberFormat="1" applyFill="1"/>
    <xf numFmtId="177" fontId="2" fillId="2" borderId="0" xfId="0" quotePrefix="1" applyNumberFormat="1" applyFont="1" applyFill="1" applyAlignment="1">
      <alignment horizontal="right"/>
    </xf>
    <xf numFmtId="0" fontId="2" fillId="0" borderId="0" xfId="0" quotePrefix="1" applyFont="1" applyFill="1" applyAlignment="1">
      <alignment horizontal="right"/>
    </xf>
    <xf numFmtId="164" fontId="2" fillId="0" borderId="0" xfId="0" applyNumberFormat="1" applyFont="1" applyFill="1"/>
    <xf numFmtId="176" fontId="2" fillId="0" borderId="0" xfId="0" applyNumberFormat="1" applyFont="1" applyFill="1"/>
    <xf numFmtId="177" fontId="2" fillId="0" borderId="0" xfId="0" quotePrefix="1" applyNumberFormat="1" applyFont="1" applyFill="1" applyAlignment="1">
      <alignment horizontal="right"/>
    </xf>
    <xf numFmtId="177" fontId="2" fillId="0" borderId="1" xfId="0" quotePrefix="1" applyNumberFormat="1" applyFont="1" applyFill="1" applyBorder="1" applyAlignment="1">
      <alignment horizontal="right"/>
    </xf>
    <xf numFmtId="177" fontId="2" fillId="0" borderId="0" xfId="0" applyNumberFormat="1" applyFont="1" applyFill="1"/>
    <xf numFmtId="0" fontId="0" fillId="0" borderId="0" xfId="0" applyAlignment="1">
      <alignment horizontal="left" indent="2"/>
    </xf>
    <xf numFmtId="171" fontId="4" fillId="0" borderId="0" xfId="0" applyNumberFormat="1" applyFont="1"/>
    <xf numFmtId="176" fontId="0" fillId="0" borderId="0" xfId="0" applyNumberFormat="1" applyBorder="1" applyAlignment="1">
      <alignment horizontal="right"/>
    </xf>
    <xf numFmtId="3" fontId="4" fillId="0" borderId="0" xfId="0" applyNumberFormat="1" applyFont="1"/>
    <xf numFmtId="175" fontId="2" fillId="0" borderId="0" xfId="7" applyNumberFormat="1" applyFont="1"/>
    <xf numFmtId="176" fontId="0" fillId="0" borderId="0" xfId="0" applyNumberFormat="1"/>
    <xf numFmtId="165" fontId="2" fillId="0" borderId="0" xfId="0" applyNumberFormat="1" applyFont="1" applyBorder="1" applyAlignment="1">
      <alignment horizontal="left"/>
    </xf>
    <xf numFmtId="0" fontId="0" fillId="0" borderId="11" xfId="0" quotePrefix="1" applyBorder="1" applyAlignment="1">
      <alignment horizontal="right"/>
    </xf>
    <xf numFmtId="0" fontId="0" fillId="0" borderId="14" xfId="0" applyBorder="1"/>
    <xf numFmtId="3" fontId="0" fillId="0" borderId="14" xfId="0" applyNumberFormat="1" applyBorder="1"/>
    <xf numFmtId="0" fontId="0" fillId="0" borderId="12" xfId="0" applyBorder="1"/>
    <xf numFmtId="0" fontId="0" fillId="0" borderId="0" xfId="0" applyBorder="1" applyAlignment="1">
      <alignment horizontal="left"/>
    </xf>
    <xf numFmtId="0" fontId="0" fillId="0" borderId="1" xfId="0" applyBorder="1" applyAlignment="1">
      <alignment horizontal="left"/>
    </xf>
    <xf numFmtId="6" fontId="0" fillId="0" borderId="1" xfId="0" quotePrefix="1" applyNumberFormat="1" applyFill="1" applyBorder="1" applyAlignment="1">
      <alignment horizontal="right"/>
    </xf>
    <xf numFmtId="6" fontId="0" fillId="0" borderId="8" xfId="0" quotePrefix="1" applyNumberFormat="1" applyFill="1" applyBorder="1" applyAlignment="1">
      <alignment horizontal="right"/>
    </xf>
    <xf numFmtId="0" fontId="0" fillId="0" borderId="11" xfId="0" applyBorder="1"/>
    <xf numFmtId="0" fontId="0" fillId="0" borderId="13" xfId="0" applyBorder="1"/>
    <xf numFmtId="0" fontId="0" fillId="0" borderId="10" xfId="0" applyBorder="1"/>
    <xf numFmtId="0" fontId="0" fillId="0" borderId="11" xfId="0" applyBorder="1" applyAlignment="1">
      <alignment horizontal="right"/>
    </xf>
    <xf numFmtId="0" fontId="0" fillId="0" borderId="9" xfId="0" applyBorder="1" applyAlignment="1">
      <alignment horizontal="right"/>
    </xf>
    <xf numFmtId="0" fontId="11" fillId="0" borderId="15" xfId="0" quotePrefix="1" applyFont="1" applyBorder="1" applyAlignment="1">
      <alignment horizontal="left"/>
    </xf>
    <xf numFmtId="0" fontId="4" fillId="0" borderId="16" xfId="0" applyFont="1" applyBorder="1"/>
    <xf numFmtId="0" fontId="0" fillId="0" borderId="16" xfId="0" applyBorder="1"/>
    <xf numFmtId="0" fontId="0" fillId="0" borderId="17" xfId="0" applyBorder="1"/>
    <xf numFmtId="0" fontId="0" fillId="0" borderId="18" xfId="0" applyBorder="1"/>
    <xf numFmtId="0" fontId="4" fillId="0" borderId="19" xfId="0" quotePrefix="1" applyFont="1" applyBorder="1" applyAlignment="1">
      <alignment horizontal="left"/>
    </xf>
    <xf numFmtId="0" fontId="0" fillId="0" borderId="20" xfId="0" applyBorder="1"/>
    <xf numFmtId="0" fontId="0" fillId="0" borderId="19" xfId="0" applyBorder="1" applyAlignment="1">
      <alignment horizontal="left"/>
    </xf>
    <xf numFmtId="0" fontId="0" fillId="0" borderId="19" xfId="0" applyBorder="1"/>
    <xf numFmtId="0" fontId="0" fillId="0" borderId="19" xfId="0" quotePrefix="1" applyBorder="1" applyAlignment="1">
      <alignment horizontal="left"/>
    </xf>
    <xf numFmtId="0" fontId="0" fillId="0" borderId="20" xfId="0" quotePrefix="1" applyBorder="1" applyAlignment="1">
      <alignment horizontal="left"/>
    </xf>
    <xf numFmtId="0" fontId="0" fillId="0" borderId="21" xfId="0" applyBorder="1"/>
    <xf numFmtId="0" fontId="0" fillId="0" borderId="22" xfId="0" applyBorder="1"/>
    <xf numFmtId="0" fontId="4" fillId="0" borderId="20" xfId="0" quotePrefix="1" applyFont="1" applyBorder="1" applyAlignment="1">
      <alignment horizontal="left"/>
    </xf>
    <xf numFmtId="0" fontId="0" fillId="0" borderId="23" xfId="0" applyBorder="1"/>
    <xf numFmtId="0" fontId="0" fillId="0" borderId="19" xfId="0" applyBorder="1" applyAlignment="1">
      <alignment horizontal="left" indent="4"/>
    </xf>
    <xf numFmtId="0" fontId="0" fillId="0" borderId="20" xfId="0" applyBorder="1" applyAlignment="1">
      <alignment horizontal="left" indent="4"/>
    </xf>
    <xf numFmtId="0" fontId="0" fillId="0" borderId="24" xfId="0" applyBorder="1"/>
    <xf numFmtId="0" fontId="4" fillId="0" borderId="22" xfId="0" applyFont="1" applyBorder="1" applyAlignment="1">
      <alignment horizontal="right"/>
    </xf>
    <xf numFmtId="0" fontId="0" fillId="0" borderId="14" xfId="0" applyBorder="1" applyAlignment="1">
      <alignment horizontal="right"/>
    </xf>
    <xf numFmtId="3" fontId="4" fillId="0" borderId="0" xfId="0" applyNumberFormat="1" applyFont="1" applyBorder="1"/>
    <xf numFmtId="0" fontId="0" fillId="0" borderId="10" xfId="0" applyFill="1" applyBorder="1" applyAlignment="1">
      <alignment horizontal="right"/>
    </xf>
    <xf numFmtId="0" fontId="0" fillId="0" borderId="4" xfId="0" applyBorder="1" applyAlignment="1">
      <alignment horizontal="centerContinuous"/>
    </xf>
    <xf numFmtId="0" fontId="0" fillId="0" borderId="5" xfId="0" applyBorder="1" applyAlignment="1">
      <alignment horizontal="centerContinuous"/>
    </xf>
    <xf numFmtId="0" fontId="0" fillId="0" borderId="25" xfId="0" applyBorder="1" applyAlignment="1">
      <alignment horizontal="centerContinuous"/>
    </xf>
    <xf numFmtId="0" fontId="0" fillId="0" borderId="24" xfId="0" applyBorder="1" applyAlignment="1">
      <alignment horizontal="right"/>
    </xf>
    <xf numFmtId="0" fontId="0" fillId="0" borderId="23" xfId="0" applyFill="1" applyBorder="1" applyAlignment="1">
      <alignment horizontal="right"/>
    </xf>
    <xf numFmtId="171" fontId="4" fillId="0" borderId="26" xfId="0" applyNumberFormat="1" applyFont="1" applyBorder="1" applyAlignment="1">
      <alignment horizontal="right" wrapText="1"/>
    </xf>
    <xf numFmtId="171" fontId="4" fillId="0" borderId="27" xfId="0" applyNumberFormat="1" applyFont="1" applyBorder="1" applyAlignment="1">
      <alignment horizontal="right" wrapText="1"/>
    </xf>
    <xf numFmtId="0" fontId="4" fillId="0" borderId="16" xfId="0" applyFont="1" applyBorder="1" applyAlignment="1">
      <alignment horizontal="right"/>
    </xf>
    <xf numFmtId="165" fontId="0" fillId="0" borderId="11" xfId="0" applyNumberFormat="1" applyBorder="1"/>
    <xf numFmtId="165" fontId="0" fillId="0" borderId="12" xfId="0" applyNumberFormat="1" applyBorder="1"/>
    <xf numFmtId="165" fontId="0" fillId="0" borderId="8" xfId="0" applyNumberFormat="1" applyBorder="1"/>
    <xf numFmtId="0" fontId="0" fillId="0" borderId="28" xfId="0" applyBorder="1"/>
    <xf numFmtId="164" fontId="2" fillId="0" borderId="0" xfId="0" quotePrefix="1" applyNumberFormat="1" applyFont="1" applyBorder="1" applyAlignment="1">
      <alignment horizontal="left"/>
    </xf>
    <xf numFmtId="0" fontId="2" fillId="0" borderId="0" xfId="0" quotePrefix="1" applyFont="1" applyFill="1" applyBorder="1" applyAlignment="1">
      <alignment horizontal="right"/>
    </xf>
    <xf numFmtId="165" fontId="2" fillId="0" borderId="12" xfId="0" applyNumberFormat="1" applyFont="1" applyBorder="1"/>
    <xf numFmtId="3" fontId="2" fillId="0" borderId="29" xfId="0" applyNumberFormat="1" applyFont="1" applyBorder="1"/>
    <xf numFmtId="165" fontId="2" fillId="0" borderId="30" xfId="0" applyNumberFormat="1" applyFont="1" applyBorder="1"/>
    <xf numFmtId="165" fontId="2" fillId="0" borderId="8" xfId="0" applyNumberFormat="1" applyFont="1" applyBorder="1"/>
    <xf numFmtId="171" fontId="4" fillId="0" borderId="0" xfId="0" applyNumberFormat="1" applyFont="1" applyAlignment="1">
      <alignment horizontal="right"/>
    </xf>
    <xf numFmtId="177" fontId="2" fillId="2" borderId="0" xfId="0" applyNumberFormat="1" applyFont="1" applyFill="1" applyAlignment="1">
      <alignment horizontal="right"/>
    </xf>
    <xf numFmtId="0" fontId="0" fillId="0" borderId="2" xfId="0" applyFill="1" applyBorder="1" applyAlignment="1">
      <alignment horizontal="left" indent="3"/>
    </xf>
    <xf numFmtId="0" fontId="2" fillId="0" borderId="12" xfId="0" applyFont="1" applyBorder="1" applyAlignment="1">
      <alignment horizontal="right"/>
    </xf>
    <xf numFmtId="0" fontId="2" fillId="0" borderId="13" xfId="0" applyFont="1" applyBorder="1" applyAlignment="1">
      <alignment horizontal="right"/>
    </xf>
    <xf numFmtId="0" fontId="4" fillId="3" borderId="31" xfId="0" applyFont="1" applyFill="1" applyBorder="1" applyAlignment="1">
      <alignment horizontal="centerContinuous"/>
    </xf>
    <xf numFmtId="0" fontId="4" fillId="3" borderId="32" xfId="0" applyFont="1" applyFill="1" applyBorder="1" applyAlignment="1">
      <alignment horizontal="centerContinuous"/>
    </xf>
    <xf numFmtId="0" fontId="0" fillId="3" borderId="32" xfId="0" applyFill="1" applyBorder="1" applyAlignment="1">
      <alignment horizontal="centerContinuous"/>
    </xf>
    <xf numFmtId="0" fontId="0" fillId="3" borderId="33" xfId="0" applyFill="1" applyBorder="1" applyAlignment="1">
      <alignment horizontal="centerContinuous"/>
    </xf>
    <xf numFmtId="0" fontId="4" fillId="0" borderId="6" xfId="0" quotePrefix="1" applyFont="1" applyFill="1" applyBorder="1" applyAlignment="1">
      <alignment horizontal="left"/>
    </xf>
    <xf numFmtId="0" fontId="4" fillId="0" borderId="2" xfId="0" quotePrefix="1" applyFont="1" applyFill="1" applyBorder="1" applyAlignment="1">
      <alignment horizontal="left"/>
    </xf>
    <xf numFmtId="171" fontId="2" fillId="0" borderId="7" xfId="0" quotePrefix="1" applyNumberFormat="1" applyFont="1" applyFill="1" applyBorder="1" applyAlignment="1">
      <alignment horizontal="right"/>
    </xf>
    <xf numFmtId="0" fontId="0" fillId="0" borderId="19" xfId="0" quotePrefix="1" applyBorder="1" applyAlignment="1">
      <alignment horizontal="left" indent="4"/>
    </xf>
    <xf numFmtId="0" fontId="0" fillId="0" borderId="20" xfId="0" quotePrefix="1" applyBorder="1" applyAlignment="1">
      <alignment horizontal="left" indent="4"/>
    </xf>
    <xf numFmtId="0" fontId="11" fillId="0" borderId="19" xfId="0" quotePrefix="1" applyFont="1" applyBorder="1" applyAlignment="1">
      <alignment horizontal="left"/>
    </xf>
    <xf numFmtId="0" fontId="2" fillId="0" borderId="0" xfId="0" quotePrefix="1" applyFont="1" applyAlignment="1">
      <alignment horizontal="right"/>
    </xf>
    <xf numFmtId="0" fontId="4" fillId="0" borderId="0" xfId="0" applyFont="1" applyBorder="1" applyAlignment="1"/>
    <xf numFmtId="0" fontId="0" fillId="0" borderId="1" xfId="0" quotePrefix="1" applyFill="1" applyBorder="1" applyAlignment="1">
      <alignment horizontal="left"/>
    </xf>
    <xf numFmtId="0" fontId="6" fillId="0" borderId="0" xfId="0" applyFont="1" applyBorder="1"/>
    <xf numFmtId="0" fontId="6" fillId="0" borderId="0" xfId="0" quotePrefix="1" applyFont="1" applyBorder="1" applyAlignment="1">
      <alignment horizontal="left"/>
    </xf>
    <xf numFmtId="0" fontId="0" fillId="0" borderId="0" xfId="0" applyFill="1" applyBorder="1" applyAlignment="1">
      <alignment horizontal="left"/>
    </xf>
    <xf numFmtId="3" fontId="2" fillId="0" borderId="1" xfId="0" applyNumberFormat="1" applyFont="1" applyBorder="1" applyAlignment="1">
      <alignment horizontal="right"/>
    </xf>
    <xf numFmtId="0" fontId="2" fillId="0" borderId="1" xfId="0" applyFont="1" applyBorder="1" applyAlignment="1">
      <alignment horizontal="right"/>
    </xf>
    <xf numFmtId="171" fontId="2" fillId="0" borderId="1" xfId="0" applyNumberFormat="1" applyFont="1" applyBorder="1" applyAlignment="1">
      <alignment horizontal="right"/>
    </xf>
    <xf numFmtId="175" fontId="2" fillId="0" borderId="1" xfId="0" applyNumberFormat="1" applyFont="1" applyFill="1" applyBorder="1" applyAlignment="1">
      <alignment horizontal="right" wrapText="1"/>
    </xf>
    <xf numFmtId="165" fontId="2" fillId="0" borderId="1" xfId="0" applyNumberFormat="1" applyFont="1" applyBorder="1" applyAlignment="1">
      <alignment horizontal="right"/>
    </xf>
    <xf numFmtId="176" fontId="2" fillId="0" borderId="0" xfId="0" applyNumberFormat="1" applyFont="1" applyFill="1" applyBorder="1"/>
    <xf numFmtId="177" fontId="2" fillId="2" borderId="0" xfId="0" applyNumberFormat="1" applyFont="1" applyFill="1" applyBorder="1"/>
    <xf numFmtId="3" fontId="0" fillId="0" borderId="0" xfId="0" applyNumberFormat="1" applyAlignment="1">
      <alignment horizontal="centerContinuous"/>
    </xf>
    <xf numFmtId="183" fontId="2" fillId="0" borderId="0" xfId="0" applyNumberFormat="1" applyFont="1"/>
    <xf numFmtId="0" fontId="11" fillId="0" borderId="0" xfId="0" applyFont="1" applyAlignment="1">
      <alignment horizontal="left"/>
    </xf>
    <xf numFmtId="3" fontId="3" fillId="0" borderId="0" xfId="0" quotePrefix="1" applyNumberFormat="1" applyFont="1" applyBorder="1" applyAlignment="1">
      <alignment wrapText="1"/>
    </xf>
    <xf numFmtId="3" fontId="3" fillId="0" borderId="0" xfId="0" applyNumberFormat="1" applyFont="1" applyBorder="1" applyAlignment="1">
      <alignment wrapText="1"/>
    </xf>
    <xf numFmtId="10" fontId="0" fillId="0" borderId="1" xfId="0" applyNumberFormat="1" applyBorder="1"/>
    <xf numFmtId="0" fontId="0" fillId="0" borderId="0" xfId="0" quotePrefix="1" applyAlignment="1">
      <alignment horizontal="right"/>
    </xf>
    <xf numFmtId="174" fontId="0" fillId="0" borderId="1" xfId="0" applyNumberFormat="1" applyBorder="1"/>
    <xf numFmtId="185" fontId="0" fillId="0" borderId="0" xfId="0" applyNumberFormat="1"/>
    <xf numFmtId="170" fontId="2" fillId="0" borderId="0" xfId="0" applyNumberFormat="1" applyFont="1" applyFill="1" applyBorder="1" applyAlignment="1">
      <alignment horizontal="right" wrapText="1"/>
    </xf>
    <xf numFmtId="0" fontId="0" fillId="0" borderId="1" xfId="0" applyBorder="1" applyAlignment="1">
      <alignment horizontal="right"/>
    </xf>
    <xf numFmtId="167" fontId="2" fillId="0" borderId="0" xfId="0" applyNumberFormat="1" applyFont="1" applyBorder="1" applyAlignment="1">
      <alignment horizontal="right" wrapText="1"/>
    </xf>
    <xf numFmtId="0" fontId="4" fillId="0" borderId="0" xfId="0" quotePrefix="1" applyFont="1" applyAlignment="1">
      <alignment horizontal="left" indent="1"/>
    </xf>
    <xf numFmtId="0" fontId="11" fillId="0" borderId="0" xfId="0" applyFont="1"/>
    <xf numFmtId="164" fontId="2" fillId="0" borderId="0" xfId="0" quotePrefix="1" applyNumberFormat="1" applyFont="1" applyBorder="1" applyAlignment="1">
      <alignment horizontal="left" wrapText="1"/>
    </xf>
    <xf numFmtId="10" fontId="2" fillId="0" borderId="1" xfId="0" applyNumberFormat="1" applyFont="1" applyBorder="1"/>
    <xf numFmtId="10" fontId="2" fillId="0" borderId="0" xfId="0" quotePrefix="1" applyNumberFormat="1" applyFont="1" applyAlignment="1">
      <alignment horizontal="right"/>
    </xf>
    <xf numFmtId="3" fontId="2" fillId="0" borderId="0" xfId="0" applyNumberFormat="1" applyFont="1" applyFill="1" applyAlignment="1"/>
    <xf numFmtId="0" fontId="4" fillId="0" borderId="0" xfId="0" quotePrefix="1" applyFont="1" applyAlignment="1">
      <alignment horizontal="right"/>
    </xf>
    <xf numFmtId="177" fontId="2" fillId="2" borderId="0" xfId="0" applyNumberFormat="1" applyFont="1" applyFill="1" applyBorder="1" applyAlignment="1">
      <alignment horizontal="right" wrapText="1"/>
    </xf>
    <xf numFmtId="177" fontId="2" fillId="0" borderId="0" xfId="0" applyNumberFormat="1" applyFont="1" applyFill="1" applyAlignment="1">
      <alignment horizontal="right"/>
    </xf>
    <xf numFmtId="0" fontId="2" fillId="0" borderId="0" xfId="0" applyFont="1" applyFill="1" applyAlignment="1">
      <alignment horizontal="left"/>
    </xf>
    <xf numFmtId="165" fontId="2" fillId="0" borderId="14" xfId="0" applyNumberFormat="1" applyFont="1" applyBorder="1" applyAlignment="1">
      <alignment horizontal="right" wrapText="1"/>
    </xf>
    <xf numFmtId="171" fontId="2" fillId="0" borderId="14" xfId="0" applyNumberFormat="1" applyFont="1" applyBorder="1" applyAlignment="1">
      <alignment horizontal="right" wrapText="1"/>
    </xf>
    <xf numFmtId="10" fontId="0" fillId="0" borderId="14" xfId="0" applyNumberFormat="1" applyBorder="1"/>
    <xf numFmtId="171" fontId="2" fillId="0" borderId="9" xfId="0" applyNumberFormat="1" applyFont="1" applyBorder="1" applyAlignment="1">
      <alignment horizontal="right" wrapText="1"/>
    </xf>
    <xf numFmtId="0" fontId="0" fillId="0" borderId="8" xfId="0" applyBorder="1" applyAlignment="1">
      <alignment horizontal="right"/>
    </xf>
    <xf numFmtId="171" fontId="2" fillId="0" borderId="10" xfId="0" applyNumberFormat="1" applyFont="1" applyBorder="1" applyAlignment="1">
      <alignment horizontal="right" wrapText="1"/>
    </xf>
    <xf numFmtId="0" fontId="0" fillId="0" borderId="3" xfId="0" applyBorder="1" applyAlignment="1">
      <alignment horizontal="centerContinuous"/>
    </xf>
    <xf numFmtId="0" fontId="0" fillId="0" borderId="8" xfId="0" quotePrefix="1" applyBorder="1" applyAlignment="1">
      <alignment horizontal="right"/>
    </xf>
    <xf numFmtId="0" fontId="0" fillId="0" borderId="10"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2" xfId="0" applyFill="1" applyBorder="1" applyAlignment="1">
      <alignment horizontal="left" indent="5"/>
    </xf>
    <xf numFmtId="0" fontId="0" fillId="0" borderId="8" xfId="0" applyFill="1" applyBorder="1" applyAlignment="1">
      <alignment horizontal="right"/>
    </xf>
    <xf numFmtId="0" fontId="0" fillId="0" borderId="1" xfId="0" applyFill="1" applyBorder="1" applyAlignment="1">
      <alignment horizontal="right"/>
    </xf>
    <xf numFmtId="0" fontId="0" fillId="0" borderId="2" xfId="0" applyBorder="1"/>
    <xf numFmtId="0" fontId="0" fillId="0" borderId="2" xfId="0" applyFill="1" applyBorder="1" applyAlignment="1">
      <alignment horizontal="center"/>
    </xf>
    <xf numFmtId="0" fontId="0" fillId="0" borderId="2" xfId="0" quotePrefix="1" applyFill="1" applyBorder="1" applyAlignment="1">
      <alignment horizontal="left" indent="5"/>
    </xf>
    <xf numFmtId="0" fontId="4" fillId="0" borderId="0" xfId="0" applyFont="1" applyFill="1" applyAlignment="1">
      <alignment horizontal="left"/>
    </xf>
    <xf numFmtId="0" fontId="0" fillId="0" borderId="0" xfId="0" quotePrefix="1" applyFill="1" applyBorder="1" applyAlignment="1">
      <alignment horizontal="left"/>
    </xf>
    <xf numFmtId="165" fontId="2" fillId="0" borderId="0" xfId="0" quotePrefix="1" applyNumberFormat="1" applyFont="1" applyBorder="1" applyAlignment="1">
      <alignment horizontal="right"/>
    </xf>
    <xf numFmtId="165" fontId="2" fillId="0" borderId="0" xfId="0" quotePrefix="1" applyNumberFormat="1" applyFont="1" applyFill="1" applyBorder="1" applyAlignment="1">
      <alignment horizontal="right"/>
    </xf>
    <xf numFmtId="177" fontId="0" fillId="0" borderId="0" xfId="0" applyNumberFormat="1" applyFill="1" applyBorder="1"/>
    <xf numFmtId="165" fontId="0" fillId="0" borderId="0" xfId="0" applyNumberFormat="1" applyFill="1" applyBorder="1"/>
    <xf numFmtId="176" fontId="0" fillId="0" borderId="0" xfId="0" applyNumberFormat="1" applyFill="1" applyAlignment="1">
      <alignment horizontal="right"/>
    </xf>
    <xf numFmtId="0" fontId="0" fillId="0" borderId="0" xfId="0" applyFill="1" applyAlignment="1">
      <alignment horizontal="left" indent="2"/>
    </xf>
    <xf numFmtId="171" fontId="2" fillId="0" borderId="0" xfId="0" applyNumberFormat="1" applyFont="1" applyFill="1" applyBorder="1" applyAlignment="1">
      <alignment horizontal="right" wrapText="1"/>
    </xf>
    <xf numFmtId="165" fontId="0" fillId="0" borderId="0" xfId="0" applyNumberFormat="1" applyFill="1" applyAlignment="1">
      <alignment horizontal="right"/>
    </xf>
    <xf numFmtId="3" fontId="2" fillId="0" borderId="0" xfId="0" quotePrefix="1" applyNumberFormat="1" applyFont="1" applyFill="1" applyBorder="1" applyAlignment="1">
      <alignment horizontal="left"/>
    </xf>
    <xf numFmtId="0" fontId="2" fillId="0" borderId="0" xfId="0" quotePrefix="1" applyFont="1" applyFill="1" applyBorder="1" applyAlignment="1">
      <alignment horizontal="left" indent="2"/>
    </xf>
    <xf numFmtId="3" fontId="0" fillId="0" borderId="0" xfId="0" applyNumberFormat="1" applyFill="1" applyBorder="1"/>
    <xf numFmtId="0" fontId="4" fillId="0" borderId="0" xfId="0" quotePrefix="1" applyFont="1" applyFill="1" applyBorder="1" applyAlignment="1">
      <alignment horizontal="left"/>
    </xf>
    <xf numFmtId="165" fontId="0" fillId="0" borderId="0" xfId="0" applyNumberFormat="1" applyFill="1"/>
    <xf numFmtId="0" fontId="0" fillId="0" borderId="0" xfId="0" applyFill="1" applyBorder="1" applyAlignment="1">
      <alignment horizontal="right"/>
    </xf>
    <xf numFmtId="174" fontId="0" fillId="0" borderId="0" xfId="0" applyNumberFormat="1" applyBorder="1"/>
    <xf numFmtId="0" fontId="0" fillId="0" borderId="0" xfId="0" applyBorder="1" applyAlignment="1">
      <alignment horizontal="left" indent="2"/>
    </xf>
    <xf numFmtId="3" fontId="2" fillId="0" borderId="0" xfId="0" applyNumberFormat="1" applyFont="1" applyAlignment="1">
      <alignment horizontal="center"/>
    </xf>
    <xf numFmtId="0" fontId="0" fillId="0" borderId="0" xfId="0" applyFill="1" applyBorder="1" applyAlignment="1">
      <alignment horizontal="left" indent="2"/>
    </xf>
    <xf numFmtId="171" fontId="0" fillId="0" borderId="0" xfId="0" applyNumberFormat="1" applyFill="1"/>
    <xf numFmtId="0" fontId="0" fillId="0" borderId="0" xfId="0" applyAlignment="1">
      <alignment horizontal="left" indent="4"/>
    </xf>
    <xf numFmtId="0" fontId="0" fillId="0" borderId="0" xfId="0" applyBorder="1" applyAlignment="1">
      <alignment horizontal="left" indent="4"/>
    </xf>
    <xf numFmtId="0" fontId="2" fillId="0" borderId="0" xfId="0" quotePrefix="1" applyFont="1" applyBorder="1" applyAlignment="1">
      <alignment horizontal="left" indent="4"/>
    </xf>
    <xf numFmtId="3" fontId="0" fillId="0" borderId="0" xfId="0" applyNumberFormat="1" applyFill="1" applyAlignment="1">
      <alignment horizontal="right"/>
    </xf>
    <xf numFmtId="3" fontId="4" fillId="0" borderId="0" xfId="0" applyNumberFormat="1" applyFont="1" applyFill="1"/>
    <xf numFmtId="0" fontId="4" fillId="0" borderId="0" xfId="0" applyFont="1" applyFill="1"/>
    <xf numFmtId="171" fontId="4" fillId="0" borderId="0" xfId="0" applyNumberFormat="1" applyFont="1" applyFill="1"/>
    <xf numFmtId="165" fontId="4" fillId="0" borderId="0" xfId="0" applyNumberFormat="1" applyFont="1" applyFill="1" applyAlignment="1">
      <alignment horizontal="right"/>
    </xf>
    <xf numFmtId="176" fontId="4" fillId="0" borderId="0" xfId="0" applyNumberFormat="1" applyFont="1" applyFill="1"/>
    <xf numFmtId="165" fontId="4" fillId="0" borderId="0" xfId="0" applyNumberFormat="1" applyFont="1" applyAlignment="1">
      <alignment horizontal="right"/>
    </xf>
    <xf numFmtId="165" fontId="4" fillId="0" borderId="0" xfId="0" applyNumberFormat="1" applyFont="1" applyFill="1"/>
    <xf numFmtId="0" fontId="4" fillId="0" borderId="0" xfId="0" applyFont="1" applyBorder="1" applyAlignment="1">
      <alignment horizontal="right"/>
    </xf>
    <xf numFmtId="0" fontId="4" fillId="0" borderId="1" xfId="0" applyFont="1" applyBorder="1" applyAlignment="1">
      <alignment horizontal="right"/>
    </xf>
    <xf numFmtId="6" fontId="0" fillId="0" borderId="0" xfId="0" quotePrefix="1" applyNumberFormat="1" applyFill="1" applyBorder="1" applyAlignment="1">
      <alignment horizontal="right"/>
    </xf>
    <xf numFmtId="177" fontId="2" fillId="0" borderId="0" xfId="0" applyNumberFormat="1" applyFont="1" applyFill="1" applyBorder="1"/>
    <xf numFmtId="6" fontId="0" fillId="0" borderId="12" xfId="0" quotePrefix="1" applyNumberFormat="1" applyFill="1" applyBorder="1" applyAlignment="1">
      <alignment horizontal="right"/>
    </xf>
    <xf numFmtId="0" fontId="0" fillId="0" borderId="13" xfId="0" applyFill="1" applyBorder="1" applyAlignment="1">
      <alignment horizontal="right"/>
    </xf>
    <xf numFmtId="171" fontId="2" fillId="0" borderId="13" xfId="0" applyNumberFormat="1" applyFont="1" applyBorder="1" applyAlignment="1">
      <alignment horizontal="right" wrapText="1"/>
    </xf>
    <xf numFmtId="0" fontId="2" fillId="0" borderId="9" xfId="0" applyFont="1" applyBorder="1"/>
    <xf numFmtId="0" fontId="2" fillId="0" borderId="13" xfId="0" applyFont="1" applyBorder="1"/>
    <xf numFmtId="0" fontId="4" fillId="0" borderId="34" xfId="0" applyFont="1" applyBorder="1" applyAlignment="1">
      <alignment horizontal="centerContinuous"/>
    </xf>
    <xf numFmtId="0" fontId="0" fillId="0" borderId="35" xfId="0" applyBorder="1" applyAlignment="1">
      <alignment horizontal="centerContinuous"/>
    </xf>
    <xf numFmtId="0" fontId="0" fillId="0" borderId="36" xfId="0" applyBorder="1" applyAlignment="1">
      <alignment horizontal="centerContinuous"/>
    </xf>
    <xf numFmtId="0" fontId="4" fillId="0" borderId="35" xfId="0" applyFont="1" applyBorder="1" applyAlignment="1">
      <alignment horizontal="centerContinuous"/>
    </xf>
    <xf numFmtId="0" fontId="4" fillId="0" borderId="37" xfId="0" applyFont="1" applyBorder="1" applyAlignment="1">
      <alignment horizontal="centerContinuous"/>
    </xf>
    <xf numFmtId="0" fontId="0" fillId="0" borderId="18" xfId="0" applyFill="1" applyBorder="1" applyAlignment="1">
      <alignment horizontal="right"/>
    </xf>
    <xf numFmtId="171" fontId="4" fillId="0" borderId="23" xfId="0" applyNumberFormat="1" applyFont="1" applyBorder="1" applyAlignment="1">
      <alignment horizontal="right" wrapText="1"/>
    </xf>
    <xf numFmtId="171" fontId="2" fillId="0" borderId="18" xfId="0" applyNumberFormat="1" applyFont="1" applyBorder="1" applyAlignment="1">
      <alignment horizontal="right" wrapText="1"/>
    </xf>
    <xf numFmtId="165" fontId="2" fillId="0" borderId="38" xfId="0" applyNumberFormat="1" applyFont="1" applyBorder="1"/>
    <xf numFmtId="3" fontId="2" fillId="0" borderId="22" xfId="0" applyNumberFormat="1" applyFont="1" applyBorder="1"/>
    <xf numFmtId="171" fontId="2" fillId="0" borderId="39" xfId="0" applyNumberFormat="1" applyFont="1" applyBorder="1" applyAlignment="1">
      <alignment horizontal="right" wrapText="1"/>
    </xf>
    <xf numFmtId="165" fontId="0" fillId="0" borderId="38" xfId="0" applyNumberFormat="1" applyBorder="1"/>
    <xf numFmtId="3" fontId="0" fillId="0" borderId="22" xfId="0" applyNumberFormat="1" applyBorder="1"/>
    <xf numFmtId="171" fontId="4" fillId="0" borderId="40" xfId="0" applyNumberFormat="1" applyFont="1" applyBorder="1" applyAlignment="1">
      <alignment horizontal="right" wrapText="1"/>
    </xf>
    <xf numFmtId="171" fontId="2" fillId="0" borderId="23" xfId="0" applyNumberFormat="1" applyFont="1" applyBorder="1" applyAlignment="1">
      <alignment horizontal="right" wrapText="1"/>
    </xf>
    <xf numFmtId="0" fontId="0" fillId="0" borderId="15" xfId="0" applyFill="1" applyBorder="1"/>
    <xf numFmtId="171" fontId="4" fillId="0" borderId="18" xfId="0" applyNumberFormat="1" applyFont="1" applyBorder="1" applyAlignment="1">
      <alignment horizontal="right" wrapText="1"/>
    </xf>
    <xf numFmtId="0" fontId="0" fillId="0" borderId="19" xfId="0" applyFill="1" applyBorder="1"/>
    <xf numFmtId="0" fontId="0" fillId="0" borderId="31" xfId="0" applyBorder="1"/>
    <xf numFmtId="0" fontId="4" fillId="0" borderId="32" xfId="0" quotePrefix="1" applyFont="1" applyBorder="1" applyAlignment="1">
      <alignment horizontal="right"/>
    </xf>
    <xf numFmtId="165" fontId="2" fillId="0" borderId="32" xfId="0" applyNumberFormat="1" applyFont="1" applyBorder="1"/>
    <xf numFmtId="0" fontId="0" fillId="0" borderId="32" xfId="0" applyBorder="1"/>
    <xf numFmtId="0" fontId="0" fillId="0" borderId="33" xfId="0" applyBorder="1"/>
    <xf numFmtId="0" fontId="3" fillId="0" borderId="0" xfId="0" quotePrefix="1" applyFont="1" applyAlignment="1">
      <alignment horizontal="left"/>
    </xf>
    <xf numFmtId="0" fontId="0" fillId="0" borderId="0" xfId="0" quotePrefix="1" applyAlignment="1">
      <alignment horizontal="left" indent="4"/>
    </xf>
    <xf numFmtId="0" fontId="4" fillId="0" borderId="0" xfId="0" applyFont="1" applyAlignment="1">
      <alignment horizontal="left" indent="4"/>
    </xf>
    <xf numFmtId="0" fontId="0" fillId="0" borderId="0" xfId="0" applyFill="1" applyAlignment="1">
      <alignment horizontal="right"/>
    </xf>
    <xf numFmtId="0" fontId="0" fillId="0" borderId="0" xfId="0" quotePrefix="1" applyFill="1" applyAlignment="1">
      <alignment horizontal="right"/>
    </xf>
    <xf numFmtId="168" fontId="2" fillId="0" borderId="0" xfId="0" quotePrefix="1" applyNumberFormat="1" applyFont="1" applyFill="1" applyAlignment="1">
      <alignment horizontal="right"/>
    </xf>
    <xf numFmtId="168" fontId="2" fillId="0" borderId="0" xfId="0" quotePrefix="1" applyNumberFormat="1" applyFont="1" applyFill="1" applyBorder="1" applyAlignment="1">
      <alignment horizontal="right"/>
    </xf>
    <xf numFmtId="171" fontId="0" fillId="0" borderId="0" xfId="0" applyNumberFormat="1" applyFill="1" applyAlignment="1">
      <alignment horizontal="right"/>
    </xf>
    <xf numFmtId="171" fontId="0" fillId="0" borderId="0" xfId="0" applyNumberFormat="1" applyBorder="1"/>
    <xf numFmtId="171" fontId="4" fillId="0" borderId="0" xfId="0" applyNumberFormat="1" applyFont="1" applyFill="1" applyAlignment="1">
      <alignment horizontal="right"/>
    </xf>
    <xf numFmtId="165" fontId="4" fillId="0" borderId="0" xfId="0" applyNumberFormat="1" applyFont="1" applyBorder="1"/>
    <xf numFmtId="171" fontId="4" fillId="0" borderId="0" xfId="0" applyNumberFormat="1" applyFont="1" applyBorder="1"/>
    <xf numFmtId="0" fontId="2" fillId="0" borderId="0" xfId="0" applyFont="1" applyFill="1" applyBorder="1" applyAlignment="1">
      <alignment horizontal="left"/>
    </xf>
    <xf numFmtId="164" fontId="2" fillId="0" borderId="0" xfId="0" quotePrefix="1" applyNumberFormat="1" applyFont="1" applyFill="1" applyBorder="1" applyAlignment="1">
      <alignment horizontal="left"/>
    </xf>
    <xf numFmtId="175" fontId="0" fillId="0" borderId="2" xfId="0" applyNumberFormat="1" applyFill="1" applyBorder="1"/>
    <xf numFmtId="175" fontId="0" fillId="0" borderId="7" xfId="0" applyNumberFormat="1" applyFill="1" applyBorder="1"/>
    <xf numFmtId="175" fontId="0" fillId="0" borderId="0" xfId="0" applyNumberFormat="1" applyFill="1" applyBorder="1"/>
    <xf numFmtId="175" fontId="2" fillId="0" borderId="6" xfId="0" applyNumberFormat="1" applyFont="1" applyFill="1" applyBorder="1" applyAlignment="1">
      <alignment horizontal="center"/>
    </xf>
    <xf numFmtId="175" fontId="2" fillId="0" borderId="7" xfId="0" applyNumberFormat="1" applyFont="1" applyFill="1" applyBorder="1" applyAlignment="1">
      <alignment horizontal="center"/>
    </xf>
    <xf numFmtId="175" fontId="0" fillId="3" borderId="2" xfId="0" applyNumberFormat="1" applyFill="1" applyBorder="1"/>
    <xf numFmtId="0" fontId="0" fillId="0" borderId="0" xfId="0" applyBorder="1" applyAlignment="1">
      <alignment horizontal="centerContinuous"/>
    </xf>
    <xf numFmtId="0" fontId="3" fillId="0" borderId="0" xfId="0" applyFont="1" applyBorder="1" applyAlignment="1">
      <alignment horizontal="centerContinuous"/>
    </xf>
    <xf numFmtId="0" fontId="3" fillId="0" borderId="0" xfId="0" quotePrefix="1" applyFont="1" applyBorder="1" applyAlignment="1">
      <alignment horizontal="centerContinuous"/>
    </xf>
    <xf numFmtId="3" fontId="3" fillId="0" borderId="0" xfId="0" quotePrefix="1" applyNumberFormat="1" applyFont="1" applyBorder="1" applyAlignment="1">
      <alignment horizontal="right" wrapText="1"/>
    </xf>
    <xf numFmtId="3" fontId="3" fillId="0" borderId="0" xfId="0" applyNumberFormat="1" applyFont="1" applyBorder="1" applyAlignment="1">
      <alignment horizontal="right" wrapText="1"/>
    </xf>
    <xf numFmtId="175" fontId="1" fillId="0" borderId="0" xfId="7" applyNumberFormat="1" applyBorder="1"/>
    <xf numFmtId="175" fontId="0" fillId="0" borderId="0" xfId="0" applyNumberFormat="1" applyBorder="1"/>
    <xf numFmtId="171" fontId="2" fillId="0" borderId="0" xfId="0" quotePrefix="1" applyNumberFormat="1" applyFont="1" applyFill="1" applyBorder="1" applyAlignment="1">
      <alignment horizontal="left"/>
    </xf>
    <xf numFmtId="184" fontId="2" fillId="0" borderId="0" xfId="7" applyNumberFormat="1" applyFont="1"/>
    <xf numFmtId="177" fontId="2" fillId="0" borderId="0" xfId="0" applyNumberFormat="1" applyFont="1" applyFill="1" applyBorder="1" applyAlignment="1">
      <alignment horizontal="right" wrapText="1"/>
    </xf>
    <xf numFmtId="171" fontId="2" fillId="0" borderId="0" xfId="0" applyNumberFormat="1" applyFont="1" applyFill="1" applyBorder="1" applyAlignment="1">
      <alignment horizontal="right"/>
    </xf>
    <xf numFmtId="10" fontId="2" fillId="0" borderId="0" xfId="0" quotePrefix="1" applyNumberFormat="1" applyFont="1" applyFill="1" applyAlignment="1">
      <alignment horizontal="left"/>
    </xf>
    <xf numFmtId="175" fontId="2" fillId="0" borderId="0" xfId="0" applyNumberFormat="1" applyFont="1" applyFill="1" applyAlignment="1">
      <alignment horizontal="right"/>
    </xf>
    <xf numFmtId="171" fontId="2" fillId="0" borderId="0" xfId="0" applyNumberFormat="1" applyFont="1" applyFill="1" applyBorder="1" applyAlignment="1">
      <alignment wrapText="1"/>
    </xf>
    <xf numFmtId="171" fontId="2" fillId="0" borderId="0" xfId="0" applyNumberFormat="1" applyFont="1" applyFill="1" applyAlignment="1"/>
    <xf numFmtId="3" fontId="2" fillId="0" borderId="0" xfId="0" applyNumberFormat="1" applyFont="1" applyFill="1" applyBorder="1" applyAlignment="1">
      <alignment wrapText="1"/>
    </xf>
    <xf numFmtId="9" fontId="2" fillId="0" borderId="0" xfId="0" applyNumberFormat="1" applyFont="1" applyFill="1" applyAlignment="1">
      <alignment horizontal="right"/>
    </xf>
    <xf numFmtId="0" fontId="4" fillId="0" borderId="0" xfId="0" quotePrefix="1" applyFont="1" applyFill="1" applyAlignment="1">
      <alignment horizontal="right"/>
    </xf>
    <xf numFmtId="164" fontId="2" fillId="0" borderId="0" xfId="0" applyNumberFormat="1" applyFont="1" applyFill="1" applyBorder="1" applyAlignment="1">
      <alignment horizontal="right"/>
    </xf>
    <xf numFmtId="164" fontId="2" fillId="0" borderId="0" xfId="0" quotePrefix="1" applyNumberFormat="1" applyFont="1" applyFill="1" applyBorder="1" applyAlignment="1">
      <alignment horizontal="right" wrapText="1"/>
    </xf>
    <xf numFmtId="0" fontId="2" fillId="0" borderId="0" xfId="0" quotePrefix="1" applyFont="1" applyFill="1" applyAlignment="1">
      <alignment horizontal="right" wrapText="1"/>
    </xf>
    <xf numFmtId="0" fontId="3" fillId="0" borderId="0" xfId="0" applyFont="1" applyFill="1" applyAlignment="1">
      <alignment horizontal="right"/>
    </xf>
    <xf numFmtId="0" fontId="3" fillId="0" borderId="0" xfId="0" quotePrefix="1" applyFont="1" applyFill="1" applyAlignment="1">
      <alignment horizontal="right"/>
    </xf>
    <xf numFmtId="3" fontId="2" fillId="0" borderId="0" xfId="0" applyNumberFormat="1" applyFont="1" applyFill="1" applyBorder="1" applyAlignment="1">
      <alignment horizontal="right" wrapText="1"/>
    </xf>
    <xf numFmtId="175" fontId="0" fillId="0" borderId="0" xfId="7" applyNumberFormat="1" applyFont="1"/>
    <xf numFmtId="176" fontId="0" fillId="0" borderId="13" xfId="0" applyNumberFormat="1" applyBorder="1"/>
    <xf numFmtId="181" fontId="2" fillId="2" borderId="41" xfId="0" applyNumberFormat="1" applyFont="1" applyFill="1" applyBorder="1"/>
    <xf numFmtId="0" fontId="4" fillId="0" borderId="7" xfId="0" quotePrefix="1" applyFont="1" applyFill="1" applyBorder="1" applyAlignment="1">
      <alignment horizontal="left"/>
    </xf>
    <xf numFmtId="0" fontId="2" fillId="0" borderId="0" xfId="0" quotePrefix="1" applyFont="1" applyAlignment="1">
      <alignment horizontal="left" vertical="center"/>
    </xf>
    <xf numFmtId="0" fontId="0" fillId="0" borderId="0" xfId="0" applyAlignment="1"/>
    <xf numFmtId="170" fontId="2" fillId="0" borderId="0" xfId="0" applyNumberFormat="1" applyFont="1" applyAlignment="1"/>
    <xf numFmtId="172" fontId="2" fillId="0" borderId="0" xfId="0" applyNumberFormat="1" applyFont="1" applyBorder="1"/>
    <xf numFmtId="170" fontId="2" fillId="0" borderId="0" xfId="0" applyNumberFormat="1" applyFont="1" applyBorder="1"/>
    <xf numFmtId="171" fontId="2" fillId="0" borderId="0" xfId="0" quotePrefix="1" applyNumberFormat="1" applyFont="1" applyAlignment="1">
      <alignment horizontal="left"/>
    </xf>
    <xf numFmtId="3" fontId="0" fillId="0" borderId="0" xfId="0" quotePrefix="1" applyNumberFormat="1" applyBorder="1" applyAlignment="1">
      <alignment horizontal="right"/>
    </xf>
    <xf numFmtId="175" fontId="2" fillId="0" borderId="0" xfId="7" applyNumberFormat="1" applyFont="1" applyBorder="1"/>
    <xf numFmtId="176" fontId="0" fillId="0" borderId="0" xfId="0" applyNumberFormat="1" applyFill="1" applyBorder="1"/>
    <xf numFmtId="165" fontId="2" fillId="0" borderId="0" xfId="0" applyNumberFormat="1" applyFont="1" applyFill="1" applyBorder="1"/>
    <xf numFmtId="3" fontId="2" fillId="0" borderId="0" xfId="0" applyNumberFormat="1" applyFont="1" applyFill="1" applyBorder="1"/>
    <xf numFmtId="171" fontId="4" fillId="0" borderId="0" xfId="0" applyNumberFormat="1" applyFont="1" applyFill="1" applyBorder="1" applyAlignment="1">
      <alignment horizontal="right" wrapText="1"/>
    </xf>
    <xf numFmtId="0" fontId="4" fillId="0" borderId="0" xfId="0" applyFont="1" applyFill="1" applyBorder="1"/>
    <xf numFmtId="3" fontId="4" fillId="0" borderId="0" xfId="0" applyNumberFormat="1" applyFont="1" applyFill="1" applyBorder="1"/>
    <xf numFmtId="0" fontId="4" fillId="0" borderId="0" xfId="0" applyFont="1" applyFill="1" applyBorder="1" applyAlignment="1">
      <alignment horizontal="centerContinuous"/>
    </xf>
    <xf numFmtId="0" fontId="0" fillId="0" borderId="0" xfId="0" applyFill="1" applyBorder="1" applyAlignment="1">
      <alignment horizontal="centerContinuous"/>
    </xf>
    <xf numFmtId="179" fontId="0" fillId="0" borderId="0" xfId="0" applyNumberFormat="1" applyFill="1" applyBorder="1"/>
    <xf numFmtId="0" fontId="2" fillId="0" borderId="0" xfId="0" applyFont="1" applyAlignment="1">
      <alignment horizontal="left" vertical="center" wrapText="1"/>
    </xf>
    <xf numFmtId="0" fontId="0" fillId="0" borderId="0" xfId="0"/>
    <xf numFmtId="0" fontId="2" fillId="0" borderId="0" xfId="0" quotePrefix="1" applyFont="1" applyAlignment="1">
      <alignment horizontal="left" wrapText="1"/>
    </xf>
    <xf numFmtId="0" fontId="0" fillId="0" borderId="0" xfId="0" applyAlignment="1">
      <alignment wrapText="1"/>
    </xf>
    <xf numFmtId="0" fontId="2" fillId="0" borderId="0" xfId="0" quotePrefix="1" applyFont="1" applyAlignment="1">
      <alignment horizontal="left" vertical="center" wrapText="1"/>
    </xf>
    <xf numFmtId="0" fontId="0" fillId="0" borderId="0" xfId="0" applyAlignment="1">
      <alignment vertical="center" wrapText="1"/>
    </xf>
  </cellXfs>
  <cellStyles count="8">
    <cellStyle name="ac" xfId="1" xr:uid="{00000000-0005-0000-0000-000000000000}"/>
    <cellStyle name="Milliers [0]_EDYAN" xfId="2" xr:uid="{00000000-0005-0000-0000-000001000000}"/>
    <cellStyle name="Milliers_EDYAN" xfId="3" xr:uid="{00000000-0005-0000-0000-000002000000}"/>
    <cellStyle name="Monétaire [0]_EDYAN" xfId="4" xr:uid="{00000000-0005-0000-0000-000003000000}"/>
    <cellStyle name="Monétaire_EDYAN" xfId="5" xr:uid="{00000000-0005-0000-0000-000004000000}"/>
    <cellStyle name="Normal" xfId="0" builtinId="0"/>
    <cellStyle name="Normal - Style1" xfId="6" xr:uid="{00000000-0005-0000-0000-00000600000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9:H11"/>
  <sheetViews>
    <sheetView zoomScale="70" workbookViewId="0"/>
  </sheetViews>
  <sheetFormatPr defaultRowHeight="13" x14ac:dyDescent="0.6"/>
  <sheetData>
    <row r="9" spans="1:8" ht="18" x14ac:dyDescent="0.8">
      <c r="A9" s="167" t="s">
        <v>557</v>
      </c>
      <c r="B9" s="107"/>
      <c r="C9" s="107"/>
      <c r="D9" s="107"/>
      <c r="E9" s="107"/>
      <c r="F9" s="107"/>
      <c r="G9" s="107"/>
      <c r="H9" s="107"/>
    </row>
    <row r="10" spans="1:8" ht="18" x14ac:dyDescent="0.8">
      <c r="A10" s="167" t="s">
        <v>395</v>
      </c>
      <c r="B10" s="107"/>
      <c r="C10" s="107"/>
      <c r="D10" s="107"/>
      <c r="E10" s="107"/>
      <c r="F10" s="107"/>
      <c r="G10" s="107"/>
      <c r="H10" s="107"/>
    </row>
    <row r="11" spans="1:8" ht="18" x14ac:dyDescent="0.8">
      <c r="A11" s="167" t="s">
        <v>823</v>
      </c>
      <c r="B11" s="107"/>
      <c r="C11" s="107"/>
      <c r="D11" s="107"/>
      <c r="E11" s="107"/>
      <c r="F11" s="107"/>
      <c r="G11" s="107"/>
      <c r="H11" s="107"/>
    </row>
  </sheetData>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A1:K66"/>
  <sheetViews>
    <sheetView zoomScale="70" workbookViewId="0"/>
  </sheetViews>
  <sheetFormatPr defaultRowHeight="13" x14ac:dyDescent="0.6"/>
  <cols>
    <col min="1" max="1" width="50" customWidth="1"/>
    <col min="2" max="2" width="11.6796875" customWidth="1"/>
    <col min="3" max="3" width="3.453125" customWidth="1"/>
    <col min="4" max="4" width="11.6796875" customWidth="1"/>
    <col min="5" max="5" width="3.453125" customWidth="1"/>
    <col min="6" max="6" width="11.6796875" customWidth="1"/>
    <col min="7" max="7" width="3.453125" customWidth="1"/>
    <col min="8" max="8" width="11.6796875" customWidth="1"/>
    <col min="9" max="9" width="3.453125" customWidth="1"/>
    <col min="10" max="10" width="11.6796875" customWidth="1"/>
  </cols>
  <sheetData>
    <row r="1" spans="1:10" s="13" customFormat="1" ht="15.5" x14ac:dyDescent="0.7">
      <c r="A1" s="157" t="s">
        <v>552</v>
      </c>
      <c r="B1" s="19"/>
      <c r="C1" s="19"/>
      <c r="D1" s="19"/>
      <c r="E1" s="19"/>
      <c r="F1" s="19"/>
      <c r="G1" s="19"/>
      <c r="H1" s="19"/>
      <c r="I1" s="19"/>
      <c r="J1" s="19"/>
    </row>
    <row r="2" spans="1:10" s="13" customFormat="1" ht="15.5" x14ac:dyDescent="0.7">
      <c r="A2" s="158" t="s">
        <v>787</v>
      </c>
      <c r="B2" s="19"/>
      <c r="C2" s="19"/>
      <c r="D2" s="19"/>
      <c r="E2" s="19"/>
      <c r="F2" s="19"/>
      <c r="G2" s="19"/>
      <c r="H2" s="19"/>
      <c r="I2" s="19"/>
      <c r="J2" s="19"/>
    </row>
    <row r="3" spans="1:10" ht="26" x14ac:dyDescent="0.6">
      <c r="B3" s="168" t="s">
        <v>109</v>
      </c>
      <c r="C3" s="168"/>
      <c r="D3" s="169" t="s">
        <v>104</v>
      </c>
      <c r="E3" s="169"/>
      <c r="F3" s="168" t="s">
        <v>110</v>
      </c>
      <c r="G3" s="168"/>
      <c r="H3" s="170" t="s">
        <v>97</v>
      </c>
      <c r="I3" s="170"/>
      <c r="J3" s="171" t="s">
        <v>105</v>
      </c>
    </row>
    <row r="4" spans="1:10" x14ac:dyDescent="0.6">
      <c r="A4" s="333" t="s">
        <v>642</v>
      </c>
    </row>
    <row r="5" spans="1:10" x14ac:dyDescent="0.6">
      <c r="A5" s="353" t="s">
        <v>481</v>
      </c>
      <c r="B5" s="6">
        <f>'Table 3.24-CIOSS Detail'!E13</f>
        <v>743967.11692025955</v>
      </c>
      <c r="C5" s="241" t="s">
        <v>242</v>
      </c>
      <c r="D5" s="83">
        <f>F5/B5</f>
        <v>6.1901874930672243E-2</v>
      </c>
      <c r="F5" s="175">
        <f>'Table 3.24-CIOSS Detail'!K13</f>
        <v>46052.95942413072</v>
      </c>
      <c r="G5" s="241" t="s">
        <v>242</v>
      </c>
      <c r="H5" s="358">
        <f>B5/$B$48</f>
        <v>0.63182048463100893</v>
      </c>
      <c r="J5" s="22">
        <f>D5*H5</f>
        <v>3.9110872618265437E-2</v>
      </c>
    </row>
    <row r="6" spans="1:10" x14ac:dyDescent="0.6">
      <c r="A6" s="353" t="s">
        <v>95</v>
      </c>
      <c r="B6" s="6">
        <f>'Table 3.28-REC Volume'!G13</f>
        <v>282707.50442969863</v>
      </c>
      <c r="C6" s="241" t="s">
        <v>243</v>
      </c>
      <c r="D6" s="83">
        <f>F6/B6</f>
        <v>0</v>
      </c>
      <c r="F6" s="175">
        <v>0</v>
      </c>
      <c r="G6" s="241"/>
      <c r="H6" s="358">
        <f>B6/$B$48</f>
        <v>0.24009178415978341</v>
      </c>
      <c r="J6" s="22">
        <f>D6*H6</f>
        <v>0</v>
      </c>
    </row>
    <row r="7" spans="1:10" x14ac:dyDescent="0.6">
      <c r="A7" s="239" t="s">
        <v>499</v>
      </c>
      <c r="B7" s="6">
        <f>'Table 3.28-REC Volume'!H13</f>
        <v>424061.25664454798</v>
      </c>
      <c r="C7" s="241" t="s">
        <v>243</v>
      </c>
      <c r="D7" s="83">
        <f>F7/B7</f>
        <v>8.3489938589580232E-2</v>
      </c>
      <c r="F7" s="175">
        <f>'Table 3.26-REC Detail NonACS'!K13</f>
        <v>35404.848275473531</v>
      </c>
      <c r="G7" s="241" t="s">
        <v>582</v>
      </c>
      <c r="H7" s="358">
        <f>B7/$B$48</f>
        <v>0.36013767623967513</v>
      </c>
      <c r="J7" s="22">
        <f>D7*H7</f>
        <v>3.0067872473044606E-2</v>
      </c>
    </row>
    <row r="8" spans="1:10" x14ac:dyDescent="0.6">
      <c r="A8" s="239" t="s">
        <v>676</v>
      </c>
      <c r="B8" s="6">
        <v>0</v>
      </c>
      <c r="C8" s="27"/>
      <c r="D8" s="83">
        <v>0</v>
      </c>
      <c r="F8" s="175">
        <v>0</v>
      </c>
      <c r="G8" s="27"/>
      <c r="H8" s="358">
        <f>B8/$B$48</f>
        <v>0</v>
      </c>
      <c r="J8" s="22">
        <f>D8*H8</f>
        <v>0</v>
      </c>
    </row>
    <row r="9" spans="1:10" x14ac:dyDescent="0.6">
      <c r="A9" s="239" t="s">
        <v>488</v>
      </c>
      <c r="B9" s="6">
        <f>'Table 3.18-Nixie UAA'!D37</f>
        <v>37198.355846012972</v>
      </c>
      <c r="C9" s="241" t="s">
        <v>244</v>
      </c>
      <c r="D9" s="83">
        <f>F9/B9</f>
        <v>1.6472408868379182E-2</v>
      </c>
      <c r="F9" s="175">
        <f>'Table 3.18-Nixie UAA'!I37</f>
        <v>612.74652672698869</v>
      </c>
      <c r="G9" s="241" t="s">
        <v>244</v>
      </c>
      <c r="H9" s="358">
        <f>B9/$B$48</f>
        <v>3.1591024231550441E-2</v>
      </c>
      <c r="J9" s="22">
        <f>D9*H9</f>
        <v>5.2038026771297308E-4</v>
      </c>
    </row>
    <row r="10" spans="1:10" x14ac:dyDescent="0.6">
      <c r="A10" s="82" t="s">
        <v>102</v>
      </c>
      <c r="B10" s="6">
        <f>B5</f>
        <v>743967.11692025955</v>
      </c>
      <c r="D10" s="83">
        <f>F10/B10</f>
        <v>0.11031476037015193</v>
      </c>
      <c r="F10" s="165">
        <f>SUM(F5:F9)</f>
        <v>82070.554226331238</v>
      </c>
      <c r="H10" s="142"/>
      <c r="J10" s="22">
        <f>SUM(J5:J9)</f>
        <v>6.969912535902302E-2</v>
      </c>
    </row>
    <row r="11" spans="1:10" ht="5.15" customHeight="1" x14ac:dyDescent="0.6">
      <c r="A11" s="82"/>
      <c r="B11" s="6"/>
      <c r="F11" s="165"/>
      <c r="H11" s="142"/>
    </row>
    <row r="12" spans="1:10" x14ac:dyDescent="0.6">
      <c r="A12" s="333" t="s">
        <v>643</v>
      </c>
      <c r="B12" s="6"/>
      <c r="F12" s="165"/>
      <c r="H12" s="142"/>
    </row>
    <row r="13" spans="1:10" x14ac:dyDescent="0.6">
      <c r="A13" s="353" t="s">
        <v>481</v>
      </c>
      <c r="B13" s="6">
        <f>SUM('Table 3.24-CIOSS Detail'!E6,'Table 3.24-CIOSS Detail'!E10)</f>
        <v>147250.24303286234</v>
      </c>
      <c r="C13" s="241" t="s">
        <v>242</v>
      </c>
      <c r="D13" s="83">
        <f>F13/B13</f>
        <v>6.190187493067225E-2</v>
      </c>
      <c r="F13" s="175">
        <f>SUM('Table 3.24-CIOSS Detail'!K6,'Table 3.24-CIOSS Detail'!K10)</f>
        <v>9115.0661277313375</v>
      </c>
      <c r="G13" s="241" t="s">
        <v>242</v>
      </c>
      <c r="H13" s="358">
        <f>B13/$B$48</f>
        <v>0.12505353771573854</v>
      </c>
      <c r="J13" s="22">
        <f>D13*H13</f>
        <v>7.7410484513177526E-3</v>
      </c>
    </row>
    <row r="14" spans="1:10" x14ac:dyDescent="0.6">
      <c r="A14" s="353" t="s">
        <v>95</v>
      </c>
      <c r="B14" s="6">
        <f>SUM('Table 3.28-REC Volume'!G6,'Table 3.28-REC Volume'!G10)</f>
        <v>57838.114260177957</v>
      </c>
      <c r="C14" s="241" t="s">
        <v>243</v>
      </c>
      <c r="D14" s="83">
        <f>F14/B14</f>
        <v>0</v>
      </c>
      <c r="F14" s="175">
        <v>0</v>
      </c>
      <c r="H14" s="358">
        <f>B14/$B$48</f>
        <v>4.9119516912635428E-2</v>
      </c>
      <c r="J14" s="22">
        <f>D14*H14</f>
        <v>0</v>
      </c>
    </row>
    <row r="15" spans="1:10" x14ac:dyDescent="0.6">
      <c r="A15" s="239" t="s">
        <v>499</v>
      </c>
      <c r="B15" s="6">
        <f>SUM('Table 3.28-REC Volume'!H6)</f>
        <v>7266.7465727709896</v>
      </c>
      <c r="C15" s="241" t="s">
        <v>243</v>
      </c>
      <c r="D15" s="83">
        <f>F15/B15</f>
        <v>8.3489938589580232E-2</v>
      </c>
      <c r="F15" s="165">
        <f>SUM('Table 3.26-REC Detail NonACS'!K6)</f>
        <v>606.70022510669253</v>
      </c>
      <c r="G15" s="241" t="s">
        <v>582</v>
      </c>
      <c r="H15" s="358">
        <f>B15/$B$48</f>
        <v>6.1713471427407131E-3</v>
      </c>
      <c r="J15" s="22">
        <f>D15*H15</f>
        <v>5.1524539396240361E-4</v>
      </c>
    </row>
    <row r="16" spans="1:10" x14ac:dyDescent="0.6">
      <c r="A16" s="239" t="s">
        <v>676</v>
      </c>
      <c r="B16" s="6">
        <f>SUM('Table 3.28-REC Volume'!H10)</f>
        <v>79490.424817495936</v>
      </c>
      <c r="C16" s="241" t="s">
        <v>243</v>
      </c>
      <c r="D16" s="83">
        <f>F16/B16</f>
        <v>4.1744969294790116E-2</v>
      </c>
      <c r="F16" s="165">
        <f>SUM('Table 3.26-REC Detail NonACS'!K10)</f>
        <v>3318.3253432361898</v>
      </c>
      <c r="G16" s="241" t="s">
        <v>582</v>
      </c>
      <c r="H16" s="358">
        <f>B16/$B$48</f>
        <v>6.7507928226212419E-2</v>
      </c>
      <c r="J16" s="22">
        <f>D16*H16</f>
        <v>2.8181163909581325E-3</v>
      </c>
    </row>
    <row r="17" spans="1:10" x14ac:dyDescent="0.6">
      <c r="A17" s="239" t="s">
        <v>489</v>
      </c>
      <c r="B17" s="6">
        <v>2654.9573824174699</v>
      </c>
      <c r="C17" s="12" t="s">
        <v>586</v>
      </c>
      <c r="D17" s="83">
        <f>'Table 3.21-CFS CIOSS Rejs'!I19</f>
        <v>0.28335656489661398</v>
      </c>
      <c r="E17" s="12" t="s">
        <v>587</v>
      </c>
      <c r="F17" s="165">
        <f>B17*D17</f>
        <v>752.29960382872025</v>
      </c>
      <c r="H17" s="358">
        <f>B17/$B$48</f>
        <v>2.2547454341499819E-3</v>
      </c>
      <c r="J17" s="22">
        <f>D17*H17</f>
        <v>6.3889692093706339E-4</v>
      </c>
    </row>
    <row r="18" spans="1:10" x14ac:dyDescent="0.6">
      <c r="A18" s="82" t="s">
        <v>102</v>
      </c>
      <c r="B18" s="6">
        <f>B13</f>
        <v>147250.24303286234</v>
      </c>
      <c r="D18" s="83">
        <f>F18/B18</f>
        <v>9.3666339802405935E-2</v>
      </c>
      <c r="F18" s="165">
        <f>SUM(F13:F17)</f>
        <v>13792.391299902942</v>
      </c>
      <c r="H18" s="142"/>
      <c r="J18" s="22">
        <f>SUM(J13:J17)</f>
        <v>1.1713307157175352E-2</v>
      </c>
    </row>
    <row r="19" spans="1:10" ht="5.15" customHeight="1" x14ac:dyDescent="0.6"/>
    <row r="20" spans="1:10" x14ac:dyDescent="0.6">
      <c r="A20" s="15" t="s">
        <v>644</v>
      </c>
    </row>
    <row r="21" spans="1:10" x14ac:dyDescent="0.6">
      <c r="A21" s="353" t="s">
        <v>307</v>
      </c>
      <c r="B21" s="6">
        <f>'Table 3.16-Route UAA PARS'!D108</f>
        <v>7750.0127912032904</v>
      </c>
      <c r="C21" s="285" t="s">
        <v>590</v>
      </c>
      <c r="D21" s="83">
        <f t="shared" ref="D21:D26" si="0">F21/B21</f>
        <v>6.5500513616903955E-2</v>
      </c>
      <c r="E21" s="285"/>
      <c r="F21" s="175">
        <f>'Table 3.16-Route UAA PARS'!J108</f>
        <v>507.62981836139096</v>
      </c>
      <c r="G21" s="285" t="s">
        <v>590</v>
      </c>
      <c r="H21" s="358">
        <f t="shared" ref="H21:H27" si="1">B21/$B$48</f>
        <v>6.5817651429336144E-3</v>
      </c>
      <c r="J21" s="22">
        <f t="shared" ref="J21:J27" si="2">D21*H21</f>
        <v>4.3110899736798701E-4</v>
      </c>
    </row>
    <row r="22" spans="1:10" x14ac:dyDescent="0.6">
      <c r="A22" s="353" t="s">
        <v>495</v>
      </c>
      <c r="B22" s="6">
        <f>'Table 3.18-Nixie UAA'!D8</f>
        <v>7750.0127912032904</v>
      </c>
      <c r="C22" s="285" t="s">
        <v>591</v>
      </c>
      <c r="D22" s="83">
        <f t="shared" si="0"/>
        <v>6.62763174821367E-3</v>
      </c>
      <c r="E22" s="285"/>
      <c r="F22" s="175">
        <f>'Table 3.18-Nixie UAA'!I8</f>
        <v>51.364230824040966</v>
      </c>
      <c r="G22" s="285" t="s">
        <v>591</v>
      </c>
      <c r="H22" s="358">
        <f t="shared" si="1"/>
        <v>6.5817651429336144E-3</v>
      </c>
      <c r="J22" s="22">
        <f t="shared" si="2"/>
        <v>4.3621515620592909E-5</v>
      </c>
    </row>
    <row r="23" spans="1:10" x14ac:dyDescent="0.6">
      <c r="A23" s="353" t="s">
        <v>481</v>
      </c>
      <c r="B23" s="6">
        <f>SUM('Table 3.24-CIOSS Detail'!E21,'Table 3.24-CIOSS Detail'!E25)</f>
        <v>7750.0127912032913</v>
      </c>
      <c r="C23" s="241" t="s">
        <v>242</v>
      </c>
      <c r="D23" s="83">
        <f t="shared" si="0"/>
        <v>4.6609454799070561E-2</v>
      </c>
      <c r="E23" s="285"/>
      <c r="F23" s="175">
        <f>SUM('Table 3.24-CIOSS Detail'!K21,'Table 3.24-CIOSS Detail'!K25)</f>
        <v>361.2238708838085</v>
      </c>
      <c r="G23" s="241" t="s">
        <v>242</v>
      </c>
      <c r="H23" s="358">
        <f t="shared" si="1"/>
        <v>6.5817651429336153E-3</v>
      </c>
      <c r="J23" s="22">
        <f t="shared" si="2"/>
        <v>3.0677248492766256E-4</v>
      </c>
    </row>
    <row r="24" spans="1:10" x14ac:dyDescent="0.6">
      <c r="A24" s="353" t="s">
        <v>95</v>
      </c>
      <c r="B24" s="6">
        <f>SUM('Table 3.28-REC Volume'!G21,'Table 3.28-REC Volume'!G25)</f>
        <v>1750.3639841895981</v>
      </c>
      <c r="C24" s="241" t="s">
        <v>243</v>
      </c>
      <c r="D24" s="83">
        <f t="shared" si="0"/>
        <v>0</v>
      </c>
      <c r="F24" s="175">
        <v>0</v>
      </c>
      <c r="H24" s="358">
        <f t="shared" si="1"/>
        <v>1.4865116960402845E-3</v>
      </c>
      <c r="J24" s="22">
        <f t="shared" si="2"/>
        <v>0</v>
      </c>
    </row>
    <row r="25" spans="1:10" x14ac:dyDescent="0.6">
      <c r="A25" s="239" t="s">
        <v>499</v>
      </c>
      <c r="B25" s="6">
        <f>SUM('Table 3.28-REC Volume'!H21)</f>
        <v>490.82411061698843</v>
      </c>
      <c r="C25" s="241" t="s">
        <v>243</v>
      </c>
      <c r="D25" s="83">
        <f t="shared" si="0"/>
        <v>8.3489938589580232E-2</v>
      </c>
      <c r="E25" s="285"/>
      <c r="F25" s="175">
        <f>SUM('Table 3.26-REC Detail NonACS'!K21)</f>
        <v>40.978874853697697</v>
      </c>
      <c r="G25" s="241" t="s">
        <v>582</v>
      </c>
      <c r="H25" s="358">
        <f t="shared" si="1"/>
        <v>4.1683660525529425E-4</v>
      </c>
      <c r="J25" s="22">
        <f t="shared" si="2"/>
        <v>3.4801662574653611E-5</v>
      </c>
    </row>
    <row r="26" spans="1:10" ht="12.75" customHeight="1" x14ac:dyDescent="0.6">
      <c r="A26" s="239" t="s">
        <v>676</v>
      </c>
      <c r="B26" s="6">
        <f>SUM('Table 3.28-REC Volume'!H25)</f>
        <v>5369.0900973221005</v>
      </c>
      <c r="C26" s="241" t="s">
        <v>243</v>
      </c>
      <c r="D26" s="83">
        <f t="shared" si="0"/>
        <v>4.1744969294790116E-2</v>
      </c>
      <c r="E26" s="285"/>
      <c r="F26" s="175">
        <f>SUM('Table 3.26-REC Detail NonACS'!K25)</f>
        <v>224.13250125367276</v>
      </c>
      <c r="G26" s="241" t="s">
        <v>582</v>
      </c>
      <c r="H26" s="358">
        <f t="shared" si="1"/>
        <v>4.559746029314353E-3</v>
      </c>
      <c r="J26" s="22">
        <f t="shared" si="2"/>
        <v>1.9034645798576881E-4</v>
      </c>
    </row>
    <row r="27" spans="1:10" x14ac:dyDescent="0.6">
      <c r="A27" s="239" t="s">
        <v>489</v>
      </c>
      <c r="B27" s="6">
        <f>'Table 3.21-CFS CIOSS Rejs'!B19-B17</f>
        <v>139.73459907460392</v>
      </c>
      <c r="C27" s="285" t="s">
        <v>592</v>
      </c>
      <c r="D27" s="83">
        <f>'Table 3.21-CFS CIOSS Rejs'!I19</f>
        <v>0.28335656489661398</v>
      </c>
      <c r="E27" s="12" t="s">
        <v>587</v>
      </c>
      <c r="F27" s="165">
        <f>B27*D27</f>
        <v>39.594715990985343</v>
      </c>
      <c r="H27" s="358">
        <f t="shared" si="1"/>
        <v>1.1867081232368346E-4</v>
      </c>
      <c r="J27" s="22">
        <f t="shared" si="2"/>
        <v>3.362615373352971E-5</v>
      </c>
    </row>
    <row r="28" spans="1:10" x14ac:dyDescent="0.6">
      <c r="A28" s="100" t="s">
        <v>102</v>
      </c>
      <c r="B28" s="324">
        <f>B21</f>
        <v>7750.0127912032904</v>
      </c>
      <c r="C28" s="18"/>
      <c r="D28" s="83">
        <f>F28/B28</f>
        <v>0.15805445038206328</v>
      </c>
      <c r="E28" s="18"/>
      <c r="F28" s="113">
        <f>SUM(F21:F27)</f>
        <v>1224.9240121675962</v>
      </c>
      <c r="G28" s="18"/>
      <c r="H28" s="142"/>
      <c r="I28" s="18"/>
      <c r="J28" s="552">
        <f>SUM(J21:J27)</f>
        <v>1.0402772722101945E-3</v>
      </c>
    </row>
    <row r="29" spans="1:10" ht="5.15" customHeight="1" x14ac:dyDescent="0.6">
      <c r="A29" s="100"/>
      <c r="B29" s="324"/>
      <c r="C29" s="18"/>
      <c r="D29" s="18"/>
      <c r="E29" s="18"/>
      <c r="F29" s="113"/>
      <c r="G29" s="18"/>
      <c r="H29" s="142"/>
      <c r="I29" s="18"/>
      <c r="J29" s="18"/>
    </row>
    <row r="30" spans="1:10" ht="12.75" customHeight="1" x14ac:dyDescent="0.6">
      <c r="A30" s="15" t="s">
        <v>645</v>
      </c>
      <c r="B30" s="324"/>
      <c r="C30" s="18"/>
      <c r="D30" s="18"/>
      <c r="E30" s="18"/>
      <c r="F30" s="113"/>
      <c r="G30" s="18"/>
      <c r="H30" s="142"/>
      <c r="I30" s="18"/>
      <c r="J30" s="18"/>
    </row>
    <row r="31" spans="1:10" ht="12.75" customHeight="1" x14ac:dyDescent="0.6">
      <c r="A31" s="353" t="s">
        <v>481</v>
      </c>
      <c r="B31" s="324">
        <f>'Table 3.24-CIOSS Detail'!E16</f>
        <v>22051.142798498655</v>
      </c>
      <c r="C31" s="241" t="s">
        <v>242</v>
      </c>
      <c r="D31" s="83">
        <f>F31/B31</f>
        <v>6.1901874930672243E-2</v>
      </c>
      <c r="E31" s="18"/>
      <c r="F31" s="113">
        <f>'Table 3.24-CIOSS Detail'!K16</f>
        <v>1365.0070835910576</v>
      </c>
      <c r="G31" s="241" t="s">
        <v>242</v>
      </c>
      <c r="H31" s="358">
        <f>B31/$B$48</f>
        <v>1.8727123031041588E-2</v>
      </c>
      <c r="I31" s="18"/>
      <c r="J31" s="22">
        <f>D31*H31</f>
        <v>1.159244027678848E-3</v>
      </c>
    </row>
    <row r="32" spans="1:10" ht="12.75" customHeight="1" x14ac:dyDescent="0.6">
      <c r="A32" s="353" t="s">
        <v>95</v>
      </c>
      <c r="B32" s="324">
        <f>'Table 3.28-REC Volume'!G16</f>
        <v>8688.1502626084693</v>
      </c>
      <c r="C32" s="241" t="s">
        <v>243</v>
      </c>
      <c r="D32" s="83">
        <f>F32/B32</f>
        <v>0</v>
      </c>
      <c r="E32" s="18"/>
      <c r="F32" s="113">
        <v>0</v>
      </c>
      <c r="G32" s="18"/>
      <c r="H32" s="358">
        <f>B32/$B$48</f>
        <v>7.3784864742303851E-3</v>
      </c>
      <c r="I32" s="18"/>
      <c r="J32" s="22">
        <f>D32*H32</f>
        <v>0</v>
      </c>
    </row>
    <row r="33" spans="1:10" ht="12.75" customHeight="1" x14ac:dyDescent="0.6">
      <c r="A33" s="239" t="s">
        <v>499</v>
      </c>
      <c r="B33" s="6">
        <v>0</v>
      </c>
      <c r="D33" s="83">
        <v>0</v>
      </c>
      <c r="F33" s="175">
        <v>0</v>
      </c>
      <c r="G33" s="18"/>
      <c r="H33" s="358">
        <f>B33/$B$48</f>
        <v>0</v>
      </c>
      <c r="I33" s="18"/>
      <c r="J33" s="22">
        <f>D33*H33</f>
        <v>0</v>
      </c>
    </row>
    <row r="34" spans="1:10" ht="12.75" customHeight="1" x14ac:dyDescent="0.6">
      <c r="A34" s="239" t="s">
        <v>676</v>
      </c>
      <c r="B34" s="324">
        <f>'Table 3.28-REC Volume'!H16</f>
        <v>13032.225393912704</v>
      </c>
      <c r="C34" s="241" t="s">
        <v>243</v>
      </c>
      <c r="D34" s="83">
        <f>F34/B34</f>
        <v>4.1744969294790116E-2</v>
      </c>
      <c r="E34" s="285"/>
      <c r="F34" s="175">
        <f>SUM('Table 3.26-REC Detail NonACS'!K16)</f>
        <v>544.02984891166989</v>
      </c>
      <c r="G34" s="241" t="s">
        <v>582</v>
      </c>
      <c r="H34" s="358">
        <f>B34/$B$48</f>
        <v>1.1067729711345578E-2</v>
      </c>
      <c r="I34" s="18"/>
      <c r="J34" s="22">
        <f>D34*H34</f>
        <v>4.6202203696315744E-4</v>
      </c>
    </row>
    <row r="35" spans="1:10" ht="12.75" customHeight="1" x14ac:dyDescent="0.6">
      <c r="A35" s="239" t="s">
        <v>489</v>
      </c>
      <c r="B35" s="324">
        <v>330.76714197747924</v>
      </c>
      <c r="C35" s="327" t="s">
        <v>593</v>
      </c>
      <c r="D35" s="83">
        <f>'Table 3.21-CFS CIOSS Rejs'!I76</f>
        <v>2.2822545604229257E-2</v>
      </c>
      <c r="E35" s="12" t="s">
        <v>587</v>
      </c>
      <c r="F35" s="165">
        <f>B35*D35</f>
        <v>7.5489481821615936</v>
      </c>
      <c r="G35" s="18"/>
      <c r="H35" s="358">
        <f>B35/$B$48</f>
        <v>2.8090684546562333E-4</v>
      </c>
      <c r="I35" s="18"/>
      <c r="J35" s="22">
        <f>D35*H35</f>
        <v>6.4110092911793686E-6</v>
      </c>
    </row>
    <row r="36" spans="1:10" ht="12.75" customHeight="1" x14ac:dyDescent="0.6">
      <c r="A36" s="100" t="s">
        <v>102</v>
      </c>
      <c r="B36" s="324">
        <f>B31</f>
        <v>22051.142798498655</v>
      </c>
      <c r="C36" s="18"/>
      <c r="D36" s="83">
        <f>F36/B36</f>
        <v>8.6915489967956644E-2</v>
      </c>
      <c r="E36" s="18"/>
      <c r="F36" s="113">
        <f>SUM(F31:F35)</f>
        <v>1916.5858806848892</v>
      </c>
      <c r="G36" s="18"/>
      <c r="H36" s="142"/>
      <c r="I36" s="18"/>
      <c r="J36" s="552">
        <f>SUM(J31:J35)</f>
        <v>1.6276770739331848E-3</v>
      </c>
    </row>
    <row r="37" spans="1:10" ht="5.15" customHeight="1" x14ac:dyDescent="0.6">
      <c r="A37" s="100"/>
      <c r="B37" s="324"/>
      <c r="C37" s="18"/>
      <c r="D37" s="18"/>
      <c r="E37" s="18"/>
      <c r="F37" s="113"/>
      <c r="G37" s="18"/>
      <c r="H37" s="142"/>
      <c r="I37" s="18"/>
      <c r="J37" s="18"/>
    </row>
    <row r="38" spans="1:10" ht="12.75" customHeight="1" x14ac:dyDescent="0.6">
      <c r="A38" s="15" t="s">
        <v>646</v>
      </c>
      <c r="B38" s="324"/>
      <c r="C38" s="18"/>
      <c r="D38" s="18"/>
      <c r="E38" s="18"/>
      <c r="F38" s="113"/>
      <c r="G38" s="18"/>
      <c r="H38" s="142"/>
      <c r="I38" s="18"/>
      <c r="J38" s="18"/>
    </row>
    <row r="39" spans="1:10" ht="12.75" customHeight="1" x14ac:dyDescent="0.6">
      <c r="A39" s="353" t="s">
        <v>307</v>
      </c>
      <c r="B39" s="324">
        <f>'Table 3.16-Route UAA PARS'!D101</f>
        <v>256479.10445717597</v>
      </c>
      <c r="C39" s="285" t="s">
        <v>590</v>
      </c>
      <c r="D39" s="83">
        <f>F39/B39</f>
        <v>7.3252298238970198E-2</v>
      </c>
      <c r="E39" s="18"/>
      <c r="F39" s="113">
        <f>'Table 3.16-Route UAA PARS'!J101</f>
        <v>18787.683851761045</v>
      </c>
      <c r="G39" s="285" t="s">
        <v>590</v>
      </c>
      <c r="H39" s="358">
        <f t="shared" ref="H39:H45" si="3">B39/$B$48</f>
        <v>0.21781708947927725</v>
      </c>
      <c r="I39" s="18"/>
      <c r="J39" s="22">
        <f t="shared" ref="J39:J45" si="4">D39*H39</f>
        <v>1.5955602400080475E-2</v>
      </c>
    </row>
    <row r="40" spans="1:10" ht="12.75" customHeight="1" x14ac:dyDescent="0.6">
      <c r="A40" s="353" t="s">
        <v>495</v>
      </c>
      <c r="B40" s="324">
        <f>'Table 3.18-Nixie UAA'!D11</f>
        <v>256479.10445717597</v>
      </c>
      <c r="C40" s="285" t="s">
        <v>591</v>
      </c>
      <c r="D40" s="83">
        <f>F40/B40</f>
        <v>6.6276317482136709E-3</v>
      </c>
      <c r="E40" s="18"/>
      <c r="F40" s="113">
        <f>'Table 3.18-Nixie UAA'!I11</f>
        <v>1699.8490554537898</v>
      </c>
      <c r="G40" s="285" t="s">
        <v>591</v>
      </c>
      <c r="H40" s="358">
        <f t="shared" si="3"/>
        <v>0.21781708947927725</v>
      </c>
      <c r="I40" s="18"/>
      <c r="J40" s="22">
        <f t="shared" si="4"/>
        <v>1.4436114575363558E-3</v>
      </c>
    </row>
    <row r="41" spans="1:10" ht="12.75" customHeight="1" x14ac:dyDescent="0.6">
      <c r="A41" s="353" t="s">
        <v>481</v>
      </c>
      <c r="B41" s="324">
        <f>SUM('Table 3.24-CIOSS Detail'!E31,'Table 3.24-CIOSS Detail'!E37)</f>
        <v>256479.10445717594</v>
      </c>
      <c r="C41" s="241" t="s">
        <v>242</v>
      </c>
      <c r="D41" s="83">
        <f>F41/B41</f>
        <v>3.1621383296640819E-2</v>
      </c>
      <c r="E41" s="18"/>
      <c r="F41" s="113">
        <f>SUM('Table 3.24-CIOSS Detail'!K31,'Table 3.24-CIOSS Detail'!K37)</f>
        <v>8110.2240696195386</v>
      </c>
      <c r="G41" s="241" t="s">
        <v>242</v>
      </c>
      <c r="H41" s="358">
        <f t="shared" si="3"/>
        <v>0.21781708947927722</v>
      </c>
      <c r="I41" s="18"/>
      <c r="J41" s="22">
        <f t="shared" si="4"/>
        <v>6.887677674982935E-3</v>
      </c>
    </row>
    <row r="42" spans="1:10" ht="12.75" customHeight="1" x14ac:dyDescent="0.6">
      <c r="A42" s="353" t="s">
        <v>95</v>
      </c>
      <c r="B42" s="324">
        <f>SUM('Table 3.28-REC Volume'!G31,'Table 3.28-REC Volume'!G37)</f>
        <v>100858.42695288477</v>
      </c>
      <c r="C42" s="241" t="s">
        <v>243</v>
      </c>
      <c r="D42" s="83">
        <f>F42/B42</f>
        <v>0</v>
      </c>
      <c r="E42" s="18"/>
      <c r="F42" s="113">
        <v>0</v>
      </c>
      <c r="G42" s="18"/>
      <c r="H42" s="358">
        <f t="shared" si="3"/>
        <v>8.565488816264849E-2</v>
      </c>
      <c r="I42" s="18"/>
      <c r="J42" s="22">
        <f t="shared" si="4"/>
        <v>0</v>
      </c>
    </row>
    <row r="43" spans="1:10" ht="12.75" customHeight="1" x14ac:dyDescent="0.6">
      <c r="A43" s="239" t="s">
        <v>499</v>
      </c>
      <c r="B43" s="6">
        <v>0</v>
      </c>
      <c r="C43" s="241"/>
      <c r="D43" s="83">
        <v>0</v>
      </c>
      <c r="F43" s="175">
        <v>0</v>
      </c>
      <c r="G43" s="18"/>
      <c r="H43" s="358">
        <f t="shared" si="3"/>
        <v>0</v>
      </c>
      <c r="I43" s="18"/>
      <c r="J43" s="22">
        <f t="shared" si="4"/>
        <v>0</v>
      </c>
    </row>
    <row r="44" spans="1:10" ht="12.75" customHeight="1" x14ac:dyDescent="0.6">
      <c r="A44" s="239" t="s">
        <v>676</v>
      </c>
      <c r="B44" s="324">
        <f>SUM('Table 3.28-REC Volume'!H31,'Table 3.28-REC Volume'!H37)</f>
        <v>151773.4909374335</v>
      </c>
      <c r="C44" s="241" t="s">
        <v>243</v>
      </c>
      <c r="D44" s="83">
        <f>F44/B44</f>
        <v>4.1744969294790123E-2</v>
      </c>
      <c r="E44" s="285"/>
      <c r="F44" s="165">
        <f>SUM('Table 3.26-REC Detail NonACS'!K31,'Table 3.26-REC Detail NonACS'!K37)</f>
        <v>6335.7797189462681</v>
      </c>
      <c r="G44" s="241" t="s">
        <v>582</v>
      </c>
      <c r="H44" s="358">
        <f t="shared" si="3"/>
        <v>0.12889494497443954</v>
      </c>
      <c r="I44" s="18"/>
      <c r="J44" s="22">
        <f t="shared" si="4"/>
        <v>5.3807155202116414E-3</v>
      </c>
    </row>
    <row r="45" spans="1:10" ht="12.75" customHeight="1" x14ac:dyDescent="0.6">
      <c r="A45" s="239" t="s">
        <v>489</v>
      </c>
      <c r="B45" s="324">
        <f>'Table 3.21-CFS CIOSS Rejs'!B76-B35</f>
        <v>3847.1865668576397</v>
      </c>
      <c r="C45" s="327" t="s">
        <v>594</v>
      </c>
      <c r="D45" s="83">
        <f>'Table 3.21-CFS CIOSS Rejs'!I76</f>
        <v>2.2822545604229257E-2</v>
      </c>
      <c r="E45" s="12" t="s">
        <v>587</v>
      </c>
      <c r="F45" s="165">
        <f>B45*D45</f>
        <v>87.802590870086675</v>
      </c>
      <c r="G45" s="18"/>
      <c r="H45" s="358">
        <f t="shared" si="3"/>
        <v>3.267256342189159E-3</v>
      </c>
      <c r="I45" s="18"/>
      <c r="J45" s="22">
        <f t="shared" si="4"/>
        <v>7.4567106870319349E-5</v>
      </c>
    </row>
    <row r="46" spans="1:10" ht="12.75" customHeight="1" x14ac:dyDescent="0.6">
      <c r="A46" s="100" t="s">
        <v>102</v>
      </c>
      <c r="B46" s="324">
        <f>B39</f>
        <v>256479.10445717597</v>
      </c>
      <c r="C46" s="18"/>
      <c r="D46" s="83">
        <f>F46/B46</f>
        <v>0.13654655945860183</v>
      </c>
      <c r="E46" s="18"/>
      <c r="F46" s="113">
        <f>SUM(F39:F45)</f>
        <v>35021.339286650727</v>
      </c>
      <c r="G46" s="18"/>
      <c r="H46" s="142"/>
      <c r="I46" s="18"/>
      <c r="J46" s="552">
        <f>SUM(J39:J45)</f>
        <v>2.9742174159681729E-2</v>
      </c>
    </row>
    <row r="47" spans="1:10" ht="5.15" customHeight="1" x14ac:dyDescent="0.6">
      <c r="A47" s="100"/>
      <c r="B47" s="324"/>
      <c r="C47" s="18"/>
      <c r="D47" s="18"/>
      <c r="E47" s="18"/>
      <c r="F47" s="113"/>
      <c r="G47" s="18"/>
      <c r="H47" s="142"/>
      <c r="I47" s="18"/>
      <c r="J47" s="18"/>
    </row>
    <row r="48" spans="1:10" x14ac:dyDescent="0.6">
      <c r="A48" s="91" t="s">
        <v>504</v>
      </c>
      <c r="B48" s="393">
        <f>SUM(B10,B18,B28,B36,B46)</f>
        <v>1177497.6199999999</v>
      </c>
      <c r="C48" s="18"/>
      <c r="D48" s="83"/>
      <c r="E48" s="18"/>
      <c r="F48" s="510">
        <f>SUM(F10,F18,F28,F36,F46)</f>
        <v>134025.79470573738</v>
      </c>
      <c r="G48" s="18"/>
      <c r="H48" s="142"/>
      <c r="I48" s="18"/>
      <c r="J48" s="413">
        <f>SUM(J10,J18,J28,J36,J46)</f>
        <v>0.11382256102202348</v>
      </c>
    </row>
    <row r="49" spans="1:11" hidden="1" x14ac:dyDescent="0.6">
      <c r="A49" s="5"/>
      <c r="B49" s="240"/>
      <c r="F49" s="359"/>
      <c r="H49" s="6"/>
      <c r="J49" s="6"/>
    </row>
    <row r="50" spans="1:11" hidden="1" x14ac:dyDescent="0.6">
      <c r="A50" s="23" t="s">
        <v>191</v>
      </c>
      <c r="B50" s="143">
        <f>B5-SUM(B6:B9)</f>
        <v>0</v>
      </c>
      <c r="G50" s="482" t="s">
        <v>311</v>
      </c>
      <c r="H50" s="6">
        <f>SUM('Table 3.16-Route UAA PARS'!J101,'Table 3.16-Route UAA PARS'!J108)</f>
        <v>19295.313670122436</v>
      </c>
      <c r="J50" s="6">
        <f>SUM(F21,F39)</f>
        <v>19295.313670122436</v>
      </c>
      <c r="K50" s="143">
        <f t="shared" ref="K50:K55" si="5">H50-J50</f>
        <v>0</v>
      </c>
    </row>
    <row r="51" spans="1:11" hidden="1" x14ac:dyDescent="0.6">
      <c r="A51" s="5"/>
      <c r="B51" s="143">
        <f>B13-SUM(B14:B17)</f>
        <v>0</v>
      </c>
      <c r="G51" s="46" t="s">
        <v>312</v>
      </c>
      <c r="H51" s="6">
        <f>SUM('Table 3.18-Nixie UAA'!I8,'Table 3.18-Nixie UAA'!I11,'Table 3.18-Nixie UAA'!I35,'Table 3.18-Nixie UAA'!I37)</f>
        <v>2363.9598130048194</v>
      </c>
      <c r="J51" s="6">
        <f>SUM(F9,F22,F40)</f>
        <v>2363.9598130048194</v>
      </c>
      <c r="K51" s="143">
        <f t="shared" si="5"/>
        <v>0</v>
      </c>
    </row>
    <row r="52" spans="1:11" hidden="1" x14ac:dyDescent="0.6">
      <c r="A52" s="5"/>
      <c r="B52" s="143">
        <f>B28-SUM(B24:B27)</f>
        <v>0</v>
      </c>
      <c r="G52" s="46" t="s">
        <v>313</v>
      </c>
      <c r="H52" s="6">
        <f>SUM('Table 3.21-CFS CIOSS Rejs'!H19,'Table 3.21-CFS CIOSS Rejs'!H76)</f>
        <v>887.24585887195383</v>
      </c>
      <c r="J52" s="6">
        <f>SUM(F17,F27,F35,F45)</f>
        <v>887.24585887195383</v>
      </c>
      <c r="K52" s="143">
        <f t="shared" si="5"/>
        <v>0</v>
      </c>
    </row>
    <row r="53" spans="1:11" hidden="1" x14ac:dyDescent="0.6">
      <c r="A53" s="5"/>
      <c r="B53" s="143">
        <f>B31-SUM(B32:B35)</f>
        <v>0</v>
      </c>
      <c r="G53" s="483" t="s">
        <v>502</v>
      </c>
      <c r="H53" s="6">
        <f>SUM('Table 3.23-CIOSS Summary'!I6,'Table 3.23-CIOSS Summary'!I10,'Table 3.23-CIOSS Summary'!I13)</f>
        <v>65004.480575956462</v>
      </c>
      <c r="J53" s="6">
        <f>SUM(F5,F13,F23,F31,F41)</f>
        <v>65004.480575956455</v>
      </c>
      <c r="K53" s="143">
        <f t="shared" si="5"/>
        <v>0</v>
      </c>
    </row>
    <row r="54" spans="1:11" hidden="1" x14ac:dyDescent="0.6">
      <c r="A54" s="5"/>
      <c r="B54" s="143">
        <f>B41-SUM(B42:B45)</f>
        <v>0</v>
      </c>
      <c r="G54" s="483" t="s">
        <v>503</v>
      </c>
      <c r="H54" s="6">
        <f>SUM('Table 3.25-REC Summary'!K6,'Table 3.25-REC Summary'!K10,'Table 3.25-REC Summary'!K13)</f>
        <v>46474.794787781728</v>
      </c>
      <c r="J54" s="6">
        <f>SUM(F7:F8,F15:F16,F25:F26,F33:F34,F43:F44)</f>
        <v>46474.794787781721</v>
      </c>
      <c r="K54" s="143">
        <f t="shared" si="5"/>
        <v>0</v>
      </c>
    </row>
    <row r="55" spans="1:11" hidden="1" x14ac:dyDescent="0.6">
      <c r="A55" s="5"/>
      <c r="B55" s="143">
        <f>B48-SUM('Table 3.23-CIOSS Summary'!C6,'Table 3.23-CIOSS Summary'!C10,'Table 3.23-CIOSS Summary'!C13)</f>
        <v>0</v>
      </c>
      <c r="G55" s="46" t="s">
        <v>314</v>
      </c>
      <c r="H55" s="6">
        <f>SUM(H50:H54)</f>
        <v>134025.79470573738</v>
      </c>
      <c r="J55" s="6">
        <f>SUM(J50:J54)</f>
        <v>134025.79470573738</v>
      </c>
      <c r="K55" s="143">
        <f t="shared" si="5"/>
        <v>0</v>
      </c>
    </row>
    <row r="56" spans="1:11" x14ac:dyDescent="0.6">
      <c r="A56" s="283"/>
      <c r="B56" s="283"/>
      <c r="C56" s="283"/>
      <c r="D56" s="283"/>
      <c r="E56" s="283"/>
      <c r="F56" s="283"/>
      <c r="H56" s="240"/>
    </row>
    <row r="57" spans="1:11" x14ac:dyDescent="0.6">
      <c r="A57" s="284" t="s">
        <v>235</v>
      </c>
    </row>
    <row r="58" spans="1:11" x14ac:dyDescent="0.6">
      <c r="A58" s="241" t="s">
        <v>67</v>
      </c>
      <c r="D58" s="12"/>
      <c r="E58" s="241" t="s">
        <v>73</v>
      </c>
    </row>
    <row r="59" spans="1:11" x14ac:dyDescent="0.6">
      <c r="A59" s="241" t="s">
        <v>68</v>
      </c>
      <c r="D59" s="12"/>
      <c r="E59" s="12" t="s">
        <v>619</v>
      </c>
    </row>
    <row r="60" spans="1:11" x14ac:dyDescent="0.6">
      <c r="A60" s="241" t="s">
        <v>69</v>
      </c>
      <c r="D60" s="12"/>
      <c r="E60" s="12" t="s">
        <v>74</v>
      </c>
    </row>
    <row r="61" spans="1:11" x14ac:dyDescent="0.6">
      <c r="A61" s="241" t="s">
        <v>31</v>
      </c>
      <c r="E61" s="12" t="s">
        <v>75</v>
      </c>
    </row>
    <row r="62" spans="1:11" x14ac:dyDescent="0.6">
      <c r="A62" s="241" t="s">
        <v>32</v>
      </c>
      <c r="E62" s="241" t="s">
        <v>76</v>
      </c>
    </row>
    <row r="63" spans="1:11" x14ac:dyDescent="0.6">
      <c r="A63" s="12" t="s">
        <v>70</v>
      </c>
      <c r="E63" s="241" t="s">
        <v>33</v>
      </c>
    </row>
    <row r="64" spans="1:11" x14ac:dyDescent="0.6">
      <c r="A64" s="12" t="s">
        <v>697</v>
      </c>
      <c r="E64" s="241" t="s">
        <v>34</v>
      </c>
    </row>
    <row r="65" spans="1:5" x14ac:dyDescent="0.6">
      <c r="A65" s="12" t="s">
        <v>71</v>
      </c>
      <c r="E65" s="241" t="s">
        <v>43</v>
      </c>
    </row>
    <row r="66" spans="1:5" x14ac:dyDescent="0.6">
      <c r="A66" s="12" t="s">
        <v>72</v>
      </c>
    </row>
  </sheetData>
  <phoneticPr fontId="5" type="noConversion"/>
  <printOptions horizontalCentered="1"/>
  <pageMargins left="0.75" right="0.75" top="1" bottom="1" header="0.5" footer="0.5"/>
  <pageSetup scale="66" orientation="landscape" r:id="rId1"/>
  <headerFooter alignWithMargins="0">
    <oddFooter>&amp;L&amp;F</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K31"/>
  <sheetViews>
    <sheetView zoomScale="70" workbookViewId="0"/>
  </sheetViews>
  <sheetFormatPr defaultRowHeight="13" x14ac:dyDescent="0.6"/>
  <cols>
    <col min="1" max="1" width="50" customWidth="1"/>
    <col min="2" max="2" width="11.6796875" customWidth="1"/>
    <col min="3" max="3" width="3.453125" customWidth="1"/>
    <col min="4" max="4" width="11.6796875" customWidth="1"/>
    <col min="5" max="5" width="3.453125" customWidth="1"/>
    <col min="6" max="6" width="11.6796875" customWidth="1"/>
    <col min="7" max="7" width="3.453125" customWidth="1"/>
    <col min="8" max="8" width="11.6796875" customWidth="1"/>
    <col min="9" max="9" width="3.453125" customWidth="1"/>
    <col min="10" max="10" width="11.6796875" customWidth="1"/>
  </cols>
  <sheetData>
    <row r="1" spans="1:10" s="13" customFormat="1" ht="15.5" x14ac:dyDescent="0.7">
      <c r="A1" s="157" t="s">
        <v>553</v>
      </c>
      <c r="B1" s="19"/>
      <c r="C1" s="19"/>
      <c r="D1" s="19"/>
      <c r="E1" s="19"/>
      <c r="F1" s="19"/>
      <c r="G1" s="19"/>
      <c r="H1" s="19"/>
      <c r="I1" s="19"/>
      <c r="J1" s="19"/>
    </row>
    <row r="2" spans="1:10" s="13" customFormat="1" ht="15.5" x14ac:dyDescent="0.7">
      <c r="A2" s="158" t="s">
        <v>787</v>
      </c>
      <c r="B2" s="19"/>
      <c r="C2" s="19"/>
      <c r="D2" s="19"/>
      <c r="E2" s="19"/>
      <c r="F2" s="19"/>
      <c r="G2" s="19"/>
      <c r="H2" s="19"/>
      <c r="I2" s="19"/>
      <c r="J2" s="19"/>
    </row>
    <row r="3" spans="1:10" ht="26" x14ac:dyDescent="0.6">
      <c r="B3" s="168" t="s">
        <v>109</v>
      </c>
      <c r="C3" s="168"/>
      <c r="D3" s="169" t="s">
        <v>104</v>
      </c>
      <c r="E3" s="169"/>
      <c r="F3" s="168" t="s">
        <v>110</v>
      </c>
      <c r="G3" s="168"/>
      <c r="H3" s="170" t="s">
        <v>97</v>
      </c>
      <c r="I3" s="170"/>
      <c r="J3" s="171" t="s">
        <v>105</v>
      </c>
    </row>
    <row r="4" spans="1:10" x14ac:dyDescent="0.6">
      <c r="A4" s="333" t="s">
        <v>80</v>
      </c>
      <c r="E4" s="18"/>
      <c r="F4" s="113"/>
      <c r="G4" s="18"/>
      <c r="H4" s="142"/>
      <c r="I4" s="18"/>
      <c r="J4" s="18"/>
    </row>
    <row r="5" spans="1:10" x14ac:dyDescent="0.6">
      <c r="A5" s="353" t="s">
        <v>307</v>
      </c>
      <c r="B5" s="6">
        <f>'Table 3.15-Route UAA NoPARS'!D111+'Table 3.16-Route UAA PARS'!D111</f>
        <v>2169066.0558747351</v>
      </c>
      <c r="C5" s="12" t="s">
        <v>240</v>
      </c>
      <c r="D5" s="83">
        <f>F5/B5</f>
        <v>3.3639830803187512E-2</v>
      </c>
      <c r="E5" s="18"/>
      <c r="F5" s="175">
        <f>'Table 3.15-Route UAA NoPARS'!J111+'Table 3.16-Route UAA PARS'!J111</f>
        <v>72967.015120563359</v>
      </c>
      <c r="G5" s="12" t="s">
        <v>240</v>
      </c>
      <c r="H5" s="142">
        <f>B5/$B$20</f>
        <v>0.96485516054570242</v>
      </c>
      <c r="I5" s="18"/>
      <c r="J5" s="552">
        <f>D5*H5</f>
        <v>3.2457564350339752E-2</v>
      </c>
    </row>
    <row r="6" spans="1:10" x14ac:dyDescent="0.6">
      <c r="A6" s="82" t="s">
        <v>487</v>
      </c>
      <c r="B6" s="6">
        <f>SUM('Table 3.18-Nixie UAA'!D20,'Table 3.18-Nixie UAA'!D29)</f>
        <v>2169066.0558747347</v>
      </c>
      <c r="C6" s="12" t="s">
        <v>241</v>
      </c>
      <c r="D6" s="83">
        <f>F6/B6</f>
        <v>1.8796558365950237E-2</v>
      </c>
      <c r="E6" s="18"/>
      <c r="F6" s="175">
        <f>SUM('Table 3.18-Nixie UAA'!I20,'Table 3.18-Nixie UAA'!I29)</f>
        <v>40770.976718850929</v>
      </c>
      <c r="G6" s="12" t="s">
        <v>241</v>
      </c>
      <c r="H6" s="142">
        <f>B6/$B$20</f>
        <v>0.9648551605457022</v>
      </c>
      <c r="I6" s="18"/>
      <c r="J6" s="552">
        <f>D6*H6</f>
        <v>1.8135956339885576E-2</v>
      </c>
    </row>
    <row r="7" spans="1:10" x14ac:dyDescent="0.6">
      <c r="A7" s="82" t="s">
        <v>102</v>
      </c>
      <c r="B7" s="6">
        <f>B5</f>
        <v>2169066.0558747351</v>
      </c>
      <c r="D7" s="83">
        <f>F7/B7</f>
        <v>5.2436389169137745E-2</v>
      </c>
      <c r="E7" s="18"/>
      <c r="F7" s="113">
        <f>SUM(F5:F6)</f>
        <v>113737.99183941429</v>
      </c>
      <c r="G7" s="18"/>
      <c r="H7" s="355"/>
      <c r="I7" s="18"/>
      <c r="J7" s="552">
        <f>SUM(J5:J6)</f>
        <v>5.0593520690225324E-2</v>
      </c>
    </row>
    <row r="8" spans="1:10" ht="5.15" customHeight="1" x14ac:dyDescent="0.6">
      <c r="E8" s="285"/>
      <c r="F8" s="175"/>
      <c r="G8" s="18"/>
      <c r="H8" s="142"/>
      <c r="I8" s="18"/>
      <c r="J8" s="83"/>
    </row>
    <row r="9" spans="1:10" x14ac:dyDescent="0.6">
      <c r="A9" s="15" t="s">
        <v>81</v>
      </c>
      <c r="E9" s="285"/>
      <c r="F9" s="175"/>
      <c r="G9" s="18"/>
      <c r="H9" s="142"/>
      <c r="I9" s="18"/>
      <c r="J9" s="83"/>
    </row>
    <row r="10" spans="1:10" x14ac:dyDescent="0.6">
      <c r="A10" s="353" t="s">
        <v>307</v>
      </c>
      <c r="B10" s="6">
        <f>'Table 3.15-Route UAA NoPARS'!D108</f>
        <v>47136.636426107492</v>
      </c>
      <c r="C10" s="12" t="s">
        <v>242</v>
      </c>
      <c r="D10" s="83">
        <f>F10/B10</f>
        <v>9.943370951620803E-2</v>
      </c>
      <c r="E10" s="285"/>
      <c r="F10" s="175">
        <f>'Table 3.15-Route UAA NoPARS'!J108</f>
        <v>4686.9706139646823</v>
      </c>
      <c r="G10" s="12" t="s">
        <v>242</v>
      </c>
      <c r="H10" s="142">
        <f>B10/$B$20</f>
        <v>2.0967561952904789E-2</v>
      </c>
      <c r="I10" s="18"/>
      <c r="J10" s="552">
        <f>D10*H10</f>
        <v>2.0848824644882301E-3</v>
      </c>
    </row>
    <row r="11" spans="1:10" x14ac:dyDescent="0.6">
      <c r="A11" s="82" t="s">
        <v>96</v>
      </c>
      <c r="B11" s="6">
        <f>'Table 3.20-CFS Non-CIOSS'!B19</f>
        <v>47136.636426107492</v>
      </c>
      <c r="C11" s="12" t="s">
        <v>243</v>
      </c>
      <c r="D11" s="83">
        <f>F11/B11</f>
        <v>0.28335656489661404</v>
      </c>
      <c r="E11" s="18"/>
      <c r="F11" s="175">
        <f>'Table 3.20-CFS Non-CIOSS'!H19</f>
        <v>13356.475378482428</v>
      </c>
      <c r="G11" s="12" t="s">
        <v>243</v>
      </c>
      <c r="H11" s="142">
        <f>B11/$B$20</f>
        <v>2.0967561952904789E-2</v>
      </c>
      <c r="I11" s="18"/>
      <c r="J11" s="552">
        <f>D11*H11</f>
        <v>5.9412963292320414E-3</v>
      </c>
    </row>
    <row r="12" spans="1:10" x14ac:dyDescent="0.6">
      <c r="A12" s="100" t="s">
        <v>102</v>
      </c>
      <c r="B12" s="6">
        <f>B10</f>
        <v>47136.636426107492</v>
      </c>
      <c r="D12" s="83">
        <f>F12/B12</f>
        <v>0.38279027441282198</v>
      </c>
      <c r="E12" s="18"/>
      <c r="F12" s="113">
        <f>SUM(F10:F11)</f>
        <v>18043.445992447108</v>
      </c>
      <c r="G12" s="18"/>
      <c r="H12" s="355"/>
      <c r="I12" s="18"/>
      <c r="J12" s="552">
        <f>SUM(J10:J11)</f>
        <v>8.0261787937202719E-3</v>
      </c>
    </row>
    <row r="13" spans="1:10" ht="5.15" customHeight="1" x14ac:dyDescent="0.6">
      <c r="A13" s="100"/>
      <c r="E13" s="18"/>
      <c r="F13" s="113"/>
      <c r="G13" s="18"/>
      <c r="H13" s="355"/>
      <c r="I13" s="18"/>
      <c r="J13" s="18"/>
    </row>
    <row r="14" spans="1:10" x14ac:dyDescent="0.6">
      <c r="A14" s="15" t="s">
        <v>82</v>
      </c>
      <c r="E14" s="18"/>
      <c r="F14" s="113"/>
      <c r="G14" s="18"/>
      <c r="H14" s="355"/>
      <c r="I14" s="18"/>
      <c r="J14" s="18"/>
    </row>
    <row r="15" spans="1:10" x14ac:dyDescent="0.6">
      <c r="A15" s="353" t="s">
        <v>307</v>
      </c>
      <c r="B15" s="6">
        <f>'Table 3.15-Route UAA NoPARS'!D101</f>
        <v>31871.572698637367</v>
      </c>
      <c r="C15" s="12" t="s">
        <v>242</v>
      </c>
      <c r="D15" s="83">
        <f>F15/B15</f>
        <v>0.13695824645547186</v>
      </c>
      <c r="E15" s="18"/>
      <c r="F15" s="175">
        <f>'Table 3.15-Route UAA NoPARS'!J101</f>
        <v>4365.0747085834646</v>
      </c>
      <c r="G15" s="12" t="s">
        <v>242</v>
      </c>
      <c r="H15" s="142">
        <f>B15/$B$20</f>
        <v>1.4177277501392837E-2</v>
      </c>
      <c r="I15" s="18"/>
      <c r="J15" s="552">
        <f>D15*H15</f>
        <v>1.9416950661033765E-3</v>
      </c>
    </row>
    <row r="16" spans="1:10" x14ac:dyDescent="0.6">
      <c r="A16" s="353" t="s">
        <v>309</v>
      </c>
      <c r="B16" s="6">
        <v>0</v>
      </c>
      <c r="C16" s="12" t="s">
        <v>241</v>
      </c>
      <c r="D16" s="83">
        <v>0</v>
      </c>
      <c r="E16" s="18"/>
      <c r="F16" s="175">
        <v>0</v>
      </c>
      <c r="G16" s="12" t="s">
        <v>241</v>
      </c>
      <c r="H16" s="142">
        <f>B16/$B$20</f>
        <v>0</v>
      </c>
      <c r="I16" s="18"/>
      <c r="J16" s="552">
        <f>D16*H16</f>
        <v>0</v>
      </c>
    </row>
    <row r="17" spans="1:11" x14ac:dyDescent="0.6">
      <c r="A17" s="82" t="s">
        <v>96</v>
      </c>
      <c r="B17" s="6">
        <f>'Table 3.20-CFS Non-CIOSS'!B76</f>
        <v>31871.57269863737</v>
      </c>
      <c r="C17" s="12" t="s">
        <v>243</v>
      </c>
      <c r="D17" s="83">
        <f>F17/B17</f>
        <v>2.2822545604229267E-2</v>
      </c>
      <c r="E17" s="18"/>
      <c r="F17" s="175">
        <f>'Table 3.20-CFS Non-CIOSS'!H76</f>
        <v>727.39042139315984</v>
      </c>
      <c r="G17" s="12" t="s">
        <v>243</v>
      </c>
      <c r="H17" s="142">
        <f>B17/$B$20</f>
        <v>1.4177277501392839E-2</v>
      </c>
      <c r="I17" s="18"/>
      <c r="J17" s="552">
        <f>D17*H17</f>
        <v>3.2356156231935161E-4</v>
      </c>
    </row>
    <row r="18" spans="1:11" x14ac:dyDescent="0.6">
      <c r="A18" s="100" t="s">
        <v>102</v>
      </c>
      <c r="B18" s="6">
        <f>B15</f>
        <v>31871.572698637367</v>
      </c>
      <c r="D18" s="83">
        <f>F18/B18</f>
        <v>0.15978079205970114</v>
      </c>
      <c r="E18" s="18"/>
      <c r="F18" s="113">
        <f>SUM(F15:F17)</f>
        <v>5092.4651299766247</v>
      </c>
      <c r="G18" s="18"/>
      <c r="H18" s="355"/>
      <c r="I18" s="18"/>
      <c r="J18" s="552">
        <f>SUM(J15:J17)</f>
        <v>2.2652566284227281E-3</v>
      </c>
    </row>
    <row r="19" spans="1:11" ht="5.15" customHeight="1" x14ac:dyDescent="0.6">
      <c r="A19" s="343"/>
      <c r="B19" s="324"/>
      <c r="C19" s="481"/>
      <c r="D19" s="18"/>
      <c r="E19" s="18"/>
      <c r="F19" s="113"/>
      <c r="G19" s="18"/>
      <c r="H19" s="355"/>
      <c r="I19" s="18"/>
      <c r="J19" s="18"/>
    </row>
    <row r="20" spans="1:11" x14ac:dyDescent="0.6">
      <c r="A20" s="91" t="s">
        <v>494</v>
      </c>
      <c r="B20" s="393">
        <f>SUM(B7,B12,B18)</f>
        <v>2248074.26499948</v>
      </c>
      <c r="C20" s="18"/>
      <c r="D20" s="83"/>
      <c r="E20" s="18"/>
      <c r="F20" s="554">
        <f>SUM(F7,F12,F18)</f>
        <v>136873.90296183803</v>
      </c>
      <c r="G20" s="18"/>
      <c r="H20" s="355"/>
      <c r="I20" s="18"/>
      <c r="J20" s="555">
        <f>SUM(J7,J12,J18)</f>
        <v>6.0884956112368327E-2</v>
      </c>
    </row>
    <row r="21" spans="1:11" hidden="1" x14ac:dyDescent="0.6">
      <c r="A21" s="5"/>
      <c r="B21" s="240"/>
      <c r="F21" s="359"/>
      <c r="H21" s="6"/>
      <c r="J21" s="6"/>
    </row>
    <row r="22" spans="1:11" hidden="1" x14ac:dyDescent="0.6">
      <c r="A22" s="23" t="s">
        <v>191</v>
      </c>
      <c r="B22" s="484"/>
      <c r="G22" s="482" t="s">
        <v>311</v>
      </c>
      <c r="H22" s="6">
        <f>SUM('Table 3.15-Route UAA NoPARS'!J101,'Table 3.15-Route UAA NoPARS'!J108,'Table 3.15-Route UAA NoPARS'!J111)+'Table 3.16-Route UAA PARS'!J111</f>
        <v>82019.060443111521</v>
      </c>
      <c r="J22" s="6">
        <f>SUM(F5,F10,F15)</f>
        <v>82019.060443111506</v>
      </c>
      <c r="K22" s="143">
        <f>H22-J22</f>
        <v>0</v>
      </c>
    </row>
    <row r="23" spans="1:11" hidden="1" x14ac:dyDescent="0.6">
      <c r="A23" s="5"/>
      <c r="B23" s="484"/>
      <c r="G23" s="46" t="s">
        <v>312</v>
      </c>
      <c r="H23" s="6">
        <f>SUM('Table 3.18-Nixie UAA'!I20,'Table 3.18-Nixie UAA'!I29)</f>
        <v>40770.976718850929</v>
      </c>
      <c r="J23" s="6">
        <f>SUM(F6,F16)</f>
        <v>40770.976718850929</v>
      </c>
      <c r="K23" s="143">
        <f>H23-J23</f>
        <v>0</v>
      </c>
    </row>
    <row r="24" spans="1:11" hidden="1" x14ac:dyDescent="0.6">
      <c r="A24" s="5"/>
      <c r="B24" s="484"/>
      <c r="G24" s="46" t="s">
        <v>313</v>
      </c>
      <c r="H24" s="6">
        <f>SUM('Table 3.20-CFS Non-CIOSS'!H19,'Table 3.20-CFS Non-CIOSS'!H76)</f>
        <v>14083.865799875588</v>
      </c>
      <c r="J24" s="6">
        <f>SUM(F11,F17)</f>
        <v>14083.865799875588</v>
      </c>
      <c r="K24" s="143">
        <f>H24-J24</f>
        <v>0</v>
      </c>
    </row>
    <row r="25" spans="1:11" hidden="1" x14ac:dyDescent="0.6">
      <c r="A25" s="5"/>
      <c r="B25" s="484"/>
      <c r="G25" s="46" t="s">
        <v>314</v>
      </c>
      <c r="H25" s="6">
        <f>SUM(H22:H24)</f>
        <v>136873.90296183803</v>
      </c>
      <c r="J25" s="6">
        <f>SUM(J22:J24)</f>
        <v>136873.90296183803</v>
      </c>
      <c r="K25" s="143">
        <f>H25-J25</f>
        <v>0</v>
      </c>
    </row>
    <row r="26" spans="1:11" x14ac:dyDescent="0.6">
      <c r="A26" s="283"/>
      <c r="B26" s="283"/>
      <c r="C26" s="283"/>
      <c r="D26" s="283"/>
      <c r="E26" s="283"/>
      <c r="F26" s="283"/>
      <c r="H26" s="240"/>
    </row>
    <row r="27" spans="1:11" x14ac:dyDescent="0.6">
      <c r="A27" s="284" t="s">
        <v>235</v>
      </c>
    </row>
    <row r="28" spans="1:11" x14ac:dyDescent="0.6">
      <c r="A28" s="241" t="s">
        <v>83</v>
      </c>
      <c r="D28" s="12"/>
      <c r="E28" s="241" t="s">
        <v>600</v>
      </c>
    </row>
    <row r="29" spans="1:11" x14ac:dyDescent="0.6">
      <c r="A29" s="241" t="s">
        <v>84</v>
      </c>
      <c r="D29" s="12"/>
      <c r="E29" s="241" t="s">
        <v>86</v>
      </c>
    </row>
    <row r="30" spans="1:11" x14ac:dyDescent="0.6">
      <c r="A30" s="241" t="s">
        <v>35</v>
      </c>
      <c r="D30" s="12"/>
      <c r="E30" s="241" t="s">
        <v>601</v>
      </c>
    </row>
    <row r="31" spans="1:11" x14ac:dyDescent="0.6">
      <c r="A31" s="241" t="s">
        <v>85</v>
      </c>
    </row>
  </sheetData>
  <phoneticPr fontId="5" type="noConversion"/>
  <printOptions horizontalCentered="1"/>
  <pageMargins left="0.75" right="0.75" top="1" bottom="1" header="0.5" footer="0.5"/>
  <pageSetup orientation="landscape" r:id="rId1"/>
  <headerFooter alignWithMargins="0">
    <oddFooter>&amp;L&amp;F</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4"/>
  <dimension ref="A1:T86"/>
  <sheetViews>
    <sheetView zoomScale="70" zoomScaleNormal="70" workbookViewId="0"/>
  </sheetViews>
  <sheetFormatPr defaultColWidth="9.08984375" defaultRowHeight="13" x14ac:dyDescent="0.6"/>
  <cols>
    <col min="1" max="1" width="42.453125" style="11" customWidth="1"/>
    <col min="2" max="2" width="8.86328125" style="38" customWidth="1"/>
    <col min="3" max="3" width="3.453125" style="38" customWidth="1"/>
    <col min="4" max="4" width="10.6796875" style="11" customWidth="1"/>
    <col min="5" max="5" width="3.453125" style="11" customWidth="1"/>
    <col min="6" max="6" width="9.86328125" style="11" customWidth="1"/>
    <col min="7" max="7" width="3.453125" style="11" customWidth="1"/>
    <col min="8" max="8" width="10.6796875" style="11" customWidth="1"/>
    <col min="9" max="9" width="3.453125" style="11" customWidth="1"/>
    <col min="10" max="10" width="10.6796875" style="11" customWidth="1"/>
    <col min="11" max="11" width="3.453125" style="11" customWidth="1"/>
    <col min="12" max="12" width="11.6796875" style="11" customWidth="1"/>
    <col min="13" max="13" width="3.453125" style="11" customWidth="1"/>
    <col min="14" max="14" width="8.6796875" style="11" customWidth="1"/>
    <col min="15" max="15" width="3.453125" style="11" customWidth="1"/>
    <col min="16" max="16" width="14.54296875" style="11" customWidth="1"/>
    <col min="17" max="17" width="10.54296875" style="11" bestFit="1" customWidth="1"/>
    <col min="18" max="18" width="12" style="11" customWidth="1"/>
    <col min="19" max="16384" width="9.08984375" style="11"/>
  </cols>
  <sheetData>
    <row r="1" spans="1:18" ht="15.5" x14ac:dyDescent="0.7">
      <c r="A1" s="158" t="s">
        <v>554</v>
      </c>
    </row>
    <row r="2" spans="1:18" ht="15.5" x14ac:dyDescent="0.7">
      <c r="A2" s="158" t="s">
        <v>787</v>
      </c>
    </row>
    <row r="3" spans="1:18" ht="5.15" customHeight="1" x14ac:dyDescent="0.7">
      <c r="A3" s="454"/>
    </row>
    <row r="4" spans="1:18" ht="15.5" x14ac:dyDescent="0.7">
      <c r="A4" s="158" t="s">
        <v>746</v>
      </c>
      <c r="B4" s="45"/>
      <c r="C4" s="45"/>
    </row>
    <row r="5" spans="1:18" ht="26" x14ac:dyDescent="0.6">
      <c r="A5" s="15" t="s">
        <v>339</v>
      </c>
      <c r="B5" s="176" t="s">
        <v>209</v>
      </c>
      <c r="C5" s="176"/>
      <c r="D5" s="177" t="s">
        <v>245</v>
      </c>
      <c r="E5" s="177"/>
      <c r="F5" s="176" t="s">
        <v>208</v>
      </c>
      <c r="G5" s="176"/>
      <c r="H5" s="176" t="s">
        <v>109</v>
      </c>
      <c r="I5" s="176"/>
      <c r="J5" s="178" t="s">
        <v>97</v>
      </c>
      <c r="K5" s="178"/>
      <c r="L5" s="177" t="s">
        <v>140</v>
      </c>
      <c r="M5" s="48"/>
      <c r="N5" s="287" t="s">
        <v>139</v>
      </c>
      <c r="O5" s="178"/>
      <c r="P5" s="177" t="s">
        <v>221</v>
      </c>
    </row>
    <row r="6" spans="1:18" x14ac:dyDescent="0.6">
      <c r="A6" s="89" t="s">
        <v>747</v>
      </c>
      <c r="B6" s="574">
        <v>0</v>
      </c>
      <c r="C6" s="571" t="s">
        <v>238</v>
      </c>
      <c r="D6" s="54">
        <v>2.6466042345528979</v>
      </c>
      <c r="E6" s="54"/>
      <c r="F6" s="180">
        <f>B6*D6</f>
        <v>0</v>
      </c>
      <c r="G6" s="180"/>
      <c r="H6" s="458">
        <f>'Table 3.38-Form 3547 Dist'!H8</f>
        <v>40121.566333005147</v>
      </c>
      <c r="I6" s="575" t="s">
        <v>241</v>
      </c>
      <c r="J6" s="576">
        <f>H6/$H$6</f>
        <v>1</v>
      </c>
      <c r="K6" s="576"/>
      <c r="L6" s="180">
        <f>J6*F6</f>
        <v>0</v>
      </c>
      <c r="M6" s="342"/>
      <c r="N6" s="342"/>
      <c r="O6" s="342"/>
      <c r="P6" s="342"/>
    </row>
    <row r="7" spans="1:18" x14ac:dyDescent="0.6">
      <c r="A7" s="21" t="s">
        <v>142</v>
      </c>
      <c r="B7" s="574">
        <f>'Table 3.40-Form Processing'!B5</f>
        <v>4.476875766794422E-2</v>
      </c>
      <c r="C7" s="571" t="s">
        <v>239</v>
      </c>
      <c r="D7" s="54">
        <v>1.7516721267338493</v>
      </c>
      <c r="E7" s="54"/>
      <c r="F7" s="180">
        <f>B7*D7</f>
        <v>7.8420184955440175E-2</v>
      </c>
      <c r="G7" s="180"/>
      <c r="H7" s="458">
        <f>H6</f>
        <v>40121.566333005147</v>
      </c>
      <c r="I7" s="575" t="s">
        <v>242</v>
      </c>
      <c r="J7" s="576">
        <f>H7/$H$6</f>
        <v>1</v>
      </c>
      <c r="K7" s="571"/>
      <c r="L7" s="180">
        <f>J7*F7</f>
        <v>7.8420184955440175E-2</v>
      </c>
      <c r="M7" s="342"/>
      <c r="N7" s="342"/>
      <c r="O7" s="342"/>
      <c r="P7" s="342"/>
      <c r="R7" s="63"/>
    </row>
    <row r="8" spans="1:18" x14ac:dyDescent="0.6">
      <c r="A8" s="21" t="s">
        <v>143</v>
      </c>
      <c r="B8" s="574">
        <v>0.19439814852612594</v>
      </c>
      <c r="C8" s="571" t="s">
        <v>240</v>
      </c>
      <c r="D8" s="54">
        <v>3.9203843922420463</v>
      </c>
      <c r="E8" s="54"/>
      <c r="F8" s="180">
        <f>B8*D8</f>
        <v>0.76211546736257529</v>
      </c>
      <c r="G8" s="180"/>
      <c r="H8" s="458">
        <f>H7</f>
        <v>40121.566333005147</v>
      </c>
      <c r="I8" s="575"/>
      <c r="J8" s="576">
        <f>H8/$H$6</f>
        <v>1</v>
      </c>
      <c r="K8" s="576"/>
      <c r="L8" s="180">
        <f>J8*F8</f>
        <v>0.76211546736257529</v>
      </c>
      <c r="M8" s="342"/>
      <c r="N8" s="342"/>
      <c r="O8" s="342"/>
      <c r="P8" s="342"/>
    </row>
    <row r="9" spans="1:18" x14ac:dyDescent="0.6">
      <c r="A9" s="21" t="s">
        <v>144</v>
      </c>
      <c r="B9" s="574">
        <v>2.2881928313357242E-2</v>
      </c>
      <c r="C9" s="571" t="s">
        <v>240</v>
      </c>
      <c r="D9" s="54">
        <v>1.3727750819950504</v>
      </c>
      <c r="E9" s="54"/>
      <c r="F9" s="180">
        <f>B9*D9</f>
        <v>3.1411741016573853E-2</v>
      </c>
      <c r="G9" s="180"/>
      <c r="H9" s="458">
        <f>H8</f>
        <v>40121.566333005147</v>
      </c>
      <c r="I9" s="575"/>
      <c r="J9" s="576">
        <f>H9/$H$6</f>
        <v>1</v>
      </c>
      <c r="K9" s="576"/>
      <c r="L9" s="180">
        <f>J9*F9</f>
        <v>3.1411741016573853E-2</v>
      </c>
      <c r="M9" s="342"/>
      <c r="N9" s="342"/>
      <c r="O9" s="342"/>
      <c r="P9" s="342"/>
    </row>
    <row r="10" spans="1:18" x14ac:dyDescent="0.6">
      <c r="A10" s="25" t="s">
        <v>146</v>
      </c>
      <c r="B10" s="488"/>
      <c r="C10" s="488"/>
      <c r="D10" s="342"/>
      <c r="E10" s="342"/>
      <c r="F10" s="488"/>
      <c r="G10" s="488"/>
      <c r="H10" s="577"/>
      <c r="I10" s="488"/>
      <c r="J10" s="576"/>
      <c r="K10" s="576"/>
      <c r="L10" s="180">
        <f>SUM(L6:L9)</f>
        <v>0.87194739333458926</v>
      </c>
      <c r="M10" s="342"/>
      <c r="N10" s="203">
        <f>'Table 3.38-Form 3547 Dist'!I8</f>
        <v>0.7133559665496122</v>
      </c>
      <c r="O10" s="575" t="s">
        <v>241</v>
      </c>
      <c r="P10" s="180">
        <f>N10*L10</f>
        <v>0.62200887555261075</v>
      </c>
      <c r="Q10" s="53"/>
    </row>
    <row r="11" spans="1:18" x14ac:dyDescent="0.6">
      <c r="B11" s="574"/>
      <c r="C11" s="574"/>
      <c r="D11" s="342"/>
      <c r="E11" s="342"/>
      <c r="F11" s="180"/>
      <c r="G11" s="180"/>
      <c r="H11" s="578"/>
      <c r="I11" s="180"/>
      <c r="J11" s="342"/>
      <c r="K11" s="342"/>
      <c r="L11" s="342"/>
      <c r="M11" s="342"/>
      <c r="N11" s="203"/>
      <c r="O11" s="203"/>
      <c r="P11" s="342"/>
    </row>
    <row r="12" spans="1:18" x14ac:dyDescent="0.6">
      <c r="A12" s="15" t="s">
        <v>340</v>
      </c>
      <c r="B12" s="574"/>
      <c r="C12" s="574"/>
      <c r="D12" s="342"/>
      <c r="E12" s="342"/>
      <c r="F12" s="180"/>
      <c r="G12" s="180"/>
      <c r="H12" s="578"/>
      <c r="I12" s="180"/>
      <c r="J12" s="342"/>
      <c r="K12" s="342"/>
      <c r="L12" s="342"/>
      <c r="M12" s="342"/>
      <c r="N12" s="342"/>
      <c r="O12" s="342"/>
      <c r="P12" s="342"/>
    </row>
    <row r="13" spans="1:18" x14ac:dyDescent="0.6">
      <c r="A13" s="89" t="s">
        <v>747</v>
      </c>
      <c r="B13" s="574">
        <v>0</v>
      </c>
      <c r="C13" s="571" t="s">
        <v>238</v>
      </c>
      <c r="D13" s="54">
        <v>2.6466042345528979</v>
      </c>
      <c r="E13" s="54"/>
      <c r="F13" s="180">
        <f>B13*D13</f>
        <v>0</v>
      </c>
      <c r="G13" s="180"/>
      <c r="H13" s="458">
        <f>'Table 3.38-Form 3547 Dist'!H9</f>
        <v>3150.8734710361659</v>
      </c>
      <c r="I13" s="575" t="s">
        <v>241</v>
      </c>
      <c r="J13" s="576">
        <f>H13/$H$13</f>
        <v>1</v>
      </c>
      <c r="K13" s="576"/>
      <c r="L13" s="180">
        <f>J13*F13</f>
        <v>0</v>
      </c>
      <c r="M13" s="342"/>
      <c r="N13" s="342"/>
      <c r="O13" s="342"/>
      <c r="P13" s="342"/>
    </row>
    <row r="14" spans="1:18" x14ac:dyDescent="0.6">
      <c r="A14" s="21" t="s">
        <v>142</v>
      </c>
      <c r="B14" s="574">
        <f>'Table 3.40-Form Processing'!B5</f>
        <v>4.476875766794422E-2</v>
      </c>
      <c r="C14" s="571" t="s">
        <v>239</v>
      </c>
      <c r="D14" s="54">
        <v>1.7516721267338493</v>
      </c>
      <c r="E14" s="54"/>
      <c r="F14" s="180">
        <f>B14*D14</f>
        <v>7.8420184955440175E-2</v>
      </c>
      <c r="G14" s="180"/>
      <c r="H14" s="458">
        <f>H13</f>
        <v>3150.8734710361659</v>
      </c>
      <c r="I14" s="575" t="s">
        <v>242</v>
      </c>
      <c r="J14" s="576">
        <f>H14/$H$13</f>
        <v>1</v>
      </c>
      <c r="K14" s="571"/>
      <c r="L14" s="180">
        <f>J14*F14</f>
        <v>7.8420184955440175E-2</v>
      </c>
      <c r="M14" s="342"/>
      <c r="N14" s="342"/>
      <c r="O14" s="342"/>
      <c r="P14" s="342"/>
      <c r="R14" s="63"/>
    </row>
    <row r="15" spans="1:18" ht="12.75" customHeight="1" x14ac:dyDescent="0.6">
      <c r="A15" s="21" t="s">
        <v>143</v>
      </c>
      <c r="B15" s="574">
        <v>0.19439814852612594</v>
      </c>
      <c r="C15" s="571" t="s">
        <v>240</v>
      </c>
      <c r="D15" s="54">
        <v>3.9203843922420463</v>
      </c>
      <c r="E15" s="54"/>
      <c r="F15" s="180">
        <f>B15*D15</f>
        <v>0.76211546736257529</v>
      </c>
      <c r="G15" s="180"/>
      <c r="H15" s="458">
        <f>H14</f>
        <v>3150.8734710361659</v>
      </c>
      <c r="I15" s="575"/>
      <c r="J15" s="576">
        <f>H15/$H$13</f>
        <v>1</v>
      </c>
      <c r="K15" s="576"/>
      <c r="L15" s="180">
        <f>J15*F15</f>
        <v>0.76211546736257529</v>
      </c>
      <c r="M15" s="342"/>
      <c r="N15" s="342"/>
      <c r="O15" s="342"/>
      <c r="P15" s="342"/>
    </row>
    <row r="16" spans="1:18" x14ac:dyDescent="0.6">
      <c r="A16" s="21" t="s">
        <v>144</v>
      </c>
      <c r="B16" s="574">
        <v>2.2881928313357242E-2</v>
      </c>
      <c r="C16" s="571" t="s">
        <v>240</v>
      </c>
      <c r="D16" s="54">
        <v>1.3727750819950504</v>
      </c>
      <c r="E16" s="54"/>
      <c r="F16" s="180">
        <f>B16*D16</f>
        <v>3.1411741016573853E-2</v>
      </c>
      <c r="G16" s="180"/>
      <c r="H16" s="458">
        <f>H15</f>
        <v>3150.8734710361659</v>
      </c>
      <c r="I16" s="575"/>
      <c r="J16" s="576">
        <f>H16/$H$13</f>
        <v>1</v>
      </c>
      <c r="K16" s="576"/>
      <c r="L16" s="180">
        <f>J16*F16</f>
        <v>3.1411741016573853E-2</v>
      </c>
      <c r="M16" s="342"/>
      <c r="N16" s="342"/>
      <c r="O16" s="342"/>
      <c r="P16" s="342"/>
    </row>
    <row r="17" spans="1:18" x14ac:dyDescent="0.6">
      <c r="A17" s="24" t="s">
        <v>145</v>
      </c>
      <c r="B17" s="488"/>
      <c r="C17" s="488"/>
      <c r="D17" s="342"/>
      <c r="E17" s="342"/>
      <c r="F17" s="488"/>
      <c r="G17" s="488"/>
      <c r="H17" s="577"/>
      <c r="I17" s="488"/>
      <c r="J17" s="342"/>
      <c r="K17" s="342"/>
      <c r="L17" s="180">
        <f>SUM(L13:L16)</f>
        <v>0.87194739333458926</v>
      </c>
      <c r="M17" s="342"/>
      <c r="N17" s="203">
        <f>'Table 3.38-Form 3547 Dist'!I9</f>
        <v>5.6022099729379653E-2</v>
      </c>
      <c r="O17" s="575" t="s">
        <v>241</v>
      </c>
      <c r="P17" s="180">
        <f>N17*L17</f>
        <v>4.8848323828162989E-2</v>
      </c>
      <c r="Q17" s="53"/>
    </row>
    <row r="18" spans="1:18" x14ac:dyDescent="0.6">
      <c r="A18" s="24"/>
      <c r="B18" s="488"/>
      <c r="C18" s="488"/>
      <c r="D18" s="342"/>
      <c r="E18" s="342"/>
      <c r="F18" s="488"/>
      <c r="G18" s="488"/>
      <c r="H18" s="577"/>
      <c r="I18" s="488"/>
      <c r="J18" s="342"/>
      <c r="K18" s="342"/>
      <c r="L18" s="180"/>
      <c r="M18" s="342"/>
      <c r="N18" s="203"/>
      <c r="O18" s="575"/>
      <c r="P18" s="180"/>
    </row>
    <row r="19" spans="1:18" x14ac:dyDescent="0.6">
      <c r="A19" s="15" t="s">
        <v>341</v>
      </c>
      <c r="B19" s="488"/>
      <c r="C19" s="488"/>
      <c r="D19" s="342"/>
      <c r="E19" s="342"/>
      <c r="F19" s="180">
        <v>0</v>
      </c>
      <c r="G19" s="488"/>
      <c r="H19" s="579">
        <f>'Table 3.38-Form 3547 Dist'!H7</f>
        <v>12970.962108003656</v>
      </c>
      <c r="I19" s="575" t="s">
        <v>241</v>
      </c>
      <c r="J19" s="576">
        <f>H19/$H$19</f>
        <v>1</v>
      </c>
      <c r="K19" s="342"/>
      <c r="L19" s="180">
        <v>0</v>
      </c>
      <c r="M19" s="342"/>
      <c r="N19" s="203">
        <f>'Table 3.38-Form 3547 Dist'!I7</f>
        <v>0.23062193372100809</v>
      </c>
      <c r="O19" s="575" t="s">
        <v>241</v>
      </c>
      <c r="P19" s="180">
        <f>N19*L19</f>
        <v>0</v>
      </c>
      <c r="Q19" s="86"/>
    </row>
    <row r="20" spans="1:18" x14ac:dyDescent="0.6">
      <c r="A20" s="48"/>
      <c r="B20" s="574"/>
      <c r="C20" s="574"/>
      <c r="D20" s="342"/>
      <c r="E20" s="342"/>
      <c r="F20" s="180"/>
      <c r="G20" s="180"/>
      <c r="H20" s="180"/>
      <c r="I20" s="180"/>
      <c r="J20" s="580"/>
      <c r="K20" s="580"/>
      <c r="L20" s="342"/>
      <c r="M20" s="342"/>
      <c r="N20" s="342"/>
      <c r="O20" s="342"/>
      <c r="P20" s="342"/>
    </row>
    <row r="21" spans="1:18" x14ac:dyDescent="0.6">
      <c r="B21" s="574"/>
      <c r="C21" s="574"/>
      <c r="D21" s="342"/>
      <c r="E21" s="342"/>
      <c r="F21" s="180"/>
      <c r="G21" s="180"/>
      <c r="H21" s="180"/>
      <c r="I21" s="180"/>
      <c r="J21" s="342"/>
      <c r="K21" s="342"/>
      <c r="L21" s="342"/>
      <c r="M21" s="342"/>
      <c r="N21" s="342"/>
      <c r="O21" s="581" t="s">
        <v>453</v>
      </c>
      <c r="P21" s="553">
        <f>P17+P10+P19</f>
        <v>0.67085719938077371</v>
      </c>
      <c r="Q21" s="63"/>
      <c r="R21" s="63"/>
    </row>
    <row r="22" spans="1:18" x14ac:dyDescent="0.6">
      <c r="A22" s="15"/>
      <c r="B22" s="574"/>
      <c r="C22" s="574"/>
      <c r="D22" s="342"/>
      <c r="E22" s="342"/>
      <c r="F22" s="180"/>
      <c r="G22" s="180"/>
      <c r="H22" s="180"/>
      <c r="I22" s="180"/>
      <c r="J22" s="342"/>
      <c r="K22" s="342"/>
      <c r="L22" s="342"/>
      <c r="M22" s="342"/>
      <c r="N22" s="342"/>
      <c r="O22" s="342"/>
      <c r="P22" s="180"/>
      <c r="Q22" s="63"/>
    </row>
    <row r="23" spans="1:18" ht="15.5" x14ac:dyDescent="0.7">
      <c r="A23" s="158" t="s">
        <v>759</v>
      </c>
      <c r="B23" s="574"/>
      <c r="C23" s="574"/>
      <c r="D23" s="342"/>
      <c r="E23" s="342"/>
      <c r="F23" s="180"/>
      <c r="G23" s="180"/>
      <c r="H23" s="180"/>
      <c r="I23" s="180"/>
      <c r="J23" s="342"/>
      <c r="K23" s="342"/>
      <c r="L23" s="342"/>
      <c r="M23" s="342"/>
      <c r="N23" s="342"/>
      <c r="O23" s="342"/>
      <c r="P23" s="180"/>
      <c r="Q23" s="63"/>
    </row>
    <row r="24" spans="1:18" ht="15.5" x14ac:dyDescent="0.7">
      <c r="A24" s="158" t="s">
        <v>787</v>
      </c>
      <c r="B24" s="574"/>
      <c r="C24" s="574"/>
      <c r="D24" s="342"/>
      <c r="E24" s="342"/>
      <c r="F24" s="180"/>
      <c r="G24" s="140"/>
      <c r="H24" s="140"/>
      <c r="I24" s="180"/>
      <c r="J24" s="342"/>
      <c r="K24" s="342"/>
      <c r="L24" s="342"/>
      <c r="M24" s="342"/>
      <c r="N24" s="342"/>
      <c r="O24" s="342"/>
      <c r="P24" s="180"/>
      <c r="Q24" s="63"/>
    </row>
    <row r="25" spans="1:18" ht="5.15" customHeight="1" x14ac:dyDescent="0.6">
      <c r="A25" s="15"/>
      <c r="B25" s="574"/>
      <c r="C25" s="574"/>
      <c r="D25" s="342"/>
      <c r="E25" s="342"/>
      <c r="F25" s="180"/>
      <c r="G25" s="180"/>
      <c r="H25" s="180"/>
      <c r="I25" s="180"/>
      <c r="J25" s="342"/>
      <c r="K25" s="342"/>
      <c r="L25" s="342"/>
      <c r="M25" s="342"/>
      <c r="N25" s="342"/>
      <c r="O25" s="342"/>
      <c r="P25" s="180"/>
      <c r="Q25" s="63"/>
    </row>
    <row r="26" spans="1:18" ht="15.5" x14ac:dyDescent="0.7">
      <c r="A26" s="158" t="s">
        <v>748</v>
      </c>
      <c r="B26" s="582"/>
      <c r="C26" s="582"/>
      <c r="D26" s="140"/>
      <c r="E26" s="140"/>
      <c r="F26" s="140"/>
      <c r="G26" s="140"/>
      <c r="H26" s="140"/>
      <c r="I26" s="140"/>
      <c r="J26" s="140"/>
      <c r="K26" s="140"/>
      <c r="L26" s="140"/>
      <c r="M26" s="140"/>
      <c r="N26" s="140"/>
      <c r="O26" s="140"/>
      <c r="P26" s="140"/>
      <c r="Q26" s="63"/>
    </row>
    <row r="27" spans="1:18" ht="26" x14ac:dyDescent="0.6">
      <c r="A27" s="15" t="s">
        <v>339</v>
      </c>
      <c r="B27" s="583" t="s">
        <v>209</v>
      </c>
      <c r="C27" s="583"/>
      <c r="D27" s="584" t="s">
        <v>245</v>
      </c>
      <c r="E27" s="584"/>
      <c r="F27" s="583" t="s">
        <v>208</v>
      </c>
      <c r="G27" s="583"/>
      <c r="H27" s="583" t="s">
        <v>109</v>
      </c>
      <c r="I27" s="583"/>
      <c r="J27" s="585" t="s">
        <v>97</v>
      </c>
      <c r="K27" s="585"/>
      <c r="L27" s="584" t="s">
        <v>140</v>
      </c>
      <c r="M27" s="342"/>
      <c r="N27" s="586" t="s">
        <v>139</v>
      </c>
      <c r="O27" s="585"/>
      <c r="P27" s="584" t="s">
        <v>221</v>
      </c>
      <c r="Q27" s="63"/>
    </row>
    <row r="28" spans="1:18" x14ac:dyDescent="0.6">
      <c r="A28" s="89" t="s">
        <v>141</v>
      </c>
      <c r="B28" s="574">
        <v>9.5634953661262997E-2</v>
      </c>
      <c r="C28" s="571" t="s">
        <v>243</v>
      </c>
      <c r="D28" s="54">
        <v>1.7516721267338493</v>
      </c>
      <c r="E28" s="54"/>
      <c r="F28" s="180">
        <f>B28*D28</f>
        <v>0.16752108266991769</v>
      </c>
      <c r="G28" s="180"/>
      <c r="H28" s="458">
        <f>'Table 3.38-Form 3547 Dist'!B17</f>
        <v>3931.1997142850623</v>
      </c>
      <c r="I28" s="575" t="s">
        <v>241</v>
      </c>
      <c r="J28" s="576">
        <f>H28/SUM($H$28:$H$29)</f>
        <v>0.91663275255374144</v>
      </c>
      <c r="K28" s="576"/>
      <c r="L28" s="180">
        <f>J28*F28</f>
        <v>0.15355531111850954</v>
      </c>
      <c r="M28" s="342"/>
      <c r="N28" s="342"/>
      <c r="O28" s="342"/>
      <c r="P28" s="342"/>
      <c r="Q28" s="63"/>
      <c r="R28" s="63"/>
    </row>
    <row r="29" spans="1:18" x14ac:dyDescent="0.6">
      <c r="A29" s="21" t="s">
        <v>749</v>
      </c>
      <c r="B29" s="574">
        <v>0.1246564581403633</v>
      </c>
      <c r="C29" s="575" t="s">
        <v>244</v>
      </c>
      <c r="D29" s="54">
        <v>1.5107753644979616</v>
      </c>
      <c r="E29" s="54"/>
      <c r="F29" s="180">
        <f>B29*D29</f>
        <v>0.18832790598403226</v>
      </c>
      <c r="G29" s="180"/>
      <c r="H29" s="458">
        <f>'Table 3.38-Form 3547 Dist'!E17</f>
        <v>357.54046364631614</v>
      </c>
      <c r="I29" s="575" t="s">
        <v>241</v>
      </c>
      <c r="J29" s="576">
        <f>H29/SUM($H$28:$H$29)</f>
        <v>8.3367247446258549E-2</v>
      </c>
      <c r="K29" s="576"/>
      <c r="L29" s="180">
        <f>J29*F29</f>
        <v>1.5700379139206532E-2</v>
      </c>
      <c r="M29" s="342"/>
      <c r="N29" s="342"/>
      <c r="O29" s="342"/>
      <c r="P29" s="342"/>
      <c r="Q29" s="63"/>
      <c r="R29" s="63"/>
    </row>
    <row r="30" spans="1:18" x14ac:dyDescent="0.6">
      <c r="A30" s="89" t="s">
        <v>750</v>
      </c>
      <c r="B30" s="574">
        <f>'Table 3.40-Form Processing'!B4</f>
        <v>6.4598755310410844E-2</v>
      </c>
      <c r="C30" s="571" t="s">
        <v>239</v>
      </c>
      <c r="D30" s="54">
        <v>1.7516721267338493</v>
      </c>
      <c r="E30" s="54"/>
      <c r="F30" s="180">
        <f>B30*D30</f>
        <v>0.1131558390989469</v>
      </c>
      <c r="G30" s="180"/>
      <c r="H30" s="458">
        <f>SUM(H28:H29)/'Table 3.40-Form Processing'!$D$4</f>
        <v>4139.6790839985642</v>
      </c>
      <c r="I30" s="575" t="s">
        <v>582</v>
      </c>
      <c r="J30" s="576">
        <f>'Table 3.40-Form Processing'!D4^-1</f>
        <v>0.96524361753135812</v>
      </c>
      <c r="K30" s="571" t="s">
        <v>239</v>
      </c>
      <c r="L30" s="180">
        <f>J30*F30</f>
        <v>0.1092229514766638</v>
      </c>
      <c r="M30" s="342"/>
      <c r="N30" s="342"/>
      <c r="O30" s="342"/>
      <c r="P30" s="342"/>
      <c r="Q30" s="572"/>
      <c r="R30" s="63"/>
    </row>
    <row r="31" spans="1:18" x14ac:dyDescent="0.6">
      <c r="A31" s="89" t="s">
        <v>751</v>
      </c>
      <c r="B31" s="574">
        <v>0.39050836489030477</v>
      </c>
      <c r="C31" s="571" t="s">
        <v>240</v>
      </c>
      <c r="D31" s="54">
        <v>3.9203843922420463</v>
      </c>
      <c r="E31" s="54"/>
      <c r="F31" s="180">
        <f>B31*D31</f>
        <v>1.5309428987559126</v>
      </c>
      <c r="G31" s="180"/>
      <c r="H31" s="458">
        <f>H30</f>
        <v>4139.6790839985642</v>
      </c>
      <c r="I31" s="575"/>
      <c r="J31" s="576">
        <f>J30</f>
        <v>0.96524361753135812</v>
      </c>
      <c r="K31" s="576"/>
      <c r="L31" s="180">
        <f>J31*F31</f>
        <v>1.4777328618291008</v>
      </c>
      <c r="M31" s="342"/>
      <c r="N31" s="342"/>
      <c r="O31" s="342"/>
      <c r="P31" s="342"/>
      <c r="Q31" s="63"/>
      <c r="R31" s="63"/>
    </row>
    <row r="32" spans="1:18" x14ac:dyDescent="0.6">
      <c r="A32" s="89" t="s">
        <v>752</v>
      </c>
      <c r="B32" s="574">
        <v>2.2881928313357242E-2</v>
      </c>
      <c r="C32" s="571" t="s">
        <v>240</v>
      </c>
      <c r="D32" s="54">
        <v>1.3727750819950504</v>
      </c>
      <c r="E32" s="54"/>
      <c r="F32" s="180">
        <f>B32*D32</f>
        <v>3.1411741016573853E-2</v>
      </c>
      <c r="G32" s="180"/>
      <c r="H32" s="458">
        <f>H31</f>
        <v>4139.6790839985642</v>
      </c>
      <c r="I32" s="575"/>
      <c r="J32" s="576">
        <f>J31</f>
        <v>0.96524361753135812</v>
      </c>
      <c r="K32" s="576"/>
      <c r="L32" s="180">
        <f>J32*F32</f>
        <v>3.0319982531795887E-2</v>
      </c>
      <c r="M32" s="342"/>
      <c r="N32" s="342"/>
      <c r="O32" s="342"/>
      <c r="P32" s="342"/>
      <c r="Q32" s="63"/>
      <c r="R32" s="63"/>
    </row>
    <row r="33" spans="1:20" x14ac:dyDescent="0.6">
      <c r="A33" s="25" t="s">
        <v>146</v>
      </c>
      <c r="B33" s="488"/>
      <c r="C33" s="488"/>
      <c r="D33" s="342"/>
      <c r="E33" s="342"/>
      <c r="F33" s="488"/>
      <c r="G33" s="488"/>
      <c r="H33" s="488"/>
      <c r="I33" s="488"/>
      <c r="J33" s="576"/>
      <c r="K33" s="576"/>
      <c r="L33" s="180">
        <f>SUM(L28:L32)</f>
        <v>1.7865314860952766</v>
      </c>
      <c r="M33" s="342"/>
      <c r="N33" s="203">
        <f>'Table 3.38-Form 3547 Dist'!I17</f>
        <v>0.5530084943148027</v>
      </c>
      <c r="O33" s="575" t="s">
        <v>241</v>
      </c>
      <c r="P33" s="180">
        <f>N33*L33</f>
        <v>0.98796708717153581</v>
      </c>
      <c r="Q33" s="63"/>
    </row>
    <row r="34" spans="1:20" x14ac:dyDescent="0.6">
      <c r="B34" s="574"/>
      <c r="C34" s="574"/>
      <c r="D34" s="342"/>
      <c r="E34" s="342"/>
      <c r="F34" s="180"/>
      <c r="G34" s="180"/>
      <c r="H34" s="180"/>
      <c r="I34" s="180"/>
      <c r="J34" s="342"/>
      <c r="K34" s="342"/>
      <c r="L34" s="342"/>
      <c r="M34" s="342"/>
      <c r="N34" s="203"/>
      <c r="O34" s="203"/>
      <c r="P34" s="342"/>
      <c r="Q34" s="63"/>
    </row>
    <row r="35" spans="1:20" x14ac:dyDescent="0.6">
      <c r="A35" s="15" t="s">
        <v>340</v>
      </c>
      <c r="B35" s="574"/>
      <c r="C35" s="574"/>
      <c r="D35" s="342"/>
      <c r="E35" s="342"/>
      <c r="F35" s="180"/>
      <c r="G35" s="180"/>
      <c r="H35" s="180"/>
      <c r="I35" s="180"/>
      <c r="J35" s="342"/>
      <c r="K35" s="342"/>
      <c r="L35" s="342"/>
      <c r="M35" s="342"/>
      <c r="N35" s="342"/>
      <c r="O35" s="342"/>
      <c r="P35" s="342"/>
      <c r="Q35" s="63"/>
    </row>
    <row r="36" spans="1:20" x14ac:dyDescent="0.6">
      <c r="A36" s="89" t="s">
        <v>141</v>
      </c>
      <c r="B36" s="574">
        <v>9.5634953661262997E-2</v>
      </c>
      <c r="C36" s="571" t="s">
        <v>243</v>
      </c>
      <c r="D36" s="54">
        <v>1.7516721267338493</v>
      </c>
      <c r="E36" s="54"/>
      <c r="F36" s="180">
        <f>B36*D36</f>
        <v>0.16752108266991769</v>
      </c>
      <c r="G36" s="180"/>
      <c r="H36" s="458">
        <f>'Table 3.38-Form 3547 Dist'!B18</f>
        <v>2181.7842496285903</v>
      </c>
      <c r="I36" s="575" t="s">
        <v>241</v>
      </c>
      <c r="J36" s="576">
        <f>H36/SUM($H$36:$H$37)</f>
        <v>0.91663275255374155</v>
      </c>
      <c r="K36" s="576"/>
      <c r="L36" s="180">
        <f>J36*F36</f>
        <v>0.15355531111850954</v>
      </c>
      <c r="M36" s="342"/>
      <c r="N36" s="342"/>
      <c r="O36" s="342"/>
      <c r="P36" s="342"/>
      <c r="Q36" s="63"/>
      <c r="R36" s="63"/>
    </row>
    <row r="37" spans="1:20" x14ac:dyDescent="0.6">
      <c r="A37" s="21" t="s">
        <v>749</v>
      </c>
      <c r="B37" s="574">
        <v>0.1246564581403633</v>
      </c>
      <c r="C37" s="575" t="s">
        <v>244</v>
      </c>
      <c r="D37" s="54">
        <v>1.5107753644979616</v>
      </c>
      <c r="E37" s="54"/>
      <c r="F37" s="180">
        <f>B37*D37</f>
        <v>0.18832790598403226</v>
      </c>
      <c r="G37" s="180"/>
      <c r="H37" s="458">
        <f>'Table 3.38-Form 3547 Dist'!E18</f>
        <v>198.43208406681083</v>
      </c>
      <c r="I37" s="575" t="s">
        <v>241</v>
      </c>
      <c r="J37" s="576">
        <f>H37/SUM($H$36:$H$37)</f>
        <v>8.3367247446258563E-2</v>
      </c>
      <c r="K37" s="576"/>
      <c r="L37" s="180">
        <f>J37*F37</f>
        <v>1.5700379139206536E-2</v>
      </c>
      <c r="M37" s="342"/>
      <c r="N37" s="342"/>
      <c r="O37" s="342"/>
      <c r="P37" s="342"/>
      <c r="Q37" s="63"/>
      <c r="R37" s="63"/>
    </row>
    <row r="38" spans="1:20" x14ac:dyDescent="0.6">
      <c r="A38" s="89" t="s">
        <v>750</v>
      </c>
      <c r="B38" s="574">
        <f>'Table 3.40-Form Processing'!B4</f>
        <v>6.4598755310410844E-2</v>
      </c>
      <c r="C38" s="571" t="s">
        <v>239</v>
      </c>
      <c r="D38" s="54">
        <v>1.7516721267338493</v>
      </c>
      <c r="E38" s="54"/>
      <c r="F38" s="180">
        <f>B38*D38</f>
        <v>0.1131558390989469</v>
      </c>
      <c r="G38" s="180"/>
      <c r="H38" s="458">
        <f>SUM(H36:H37)/'Table 3.40-Form Processing'!$D$4</f>
        <v>2297.4886244433751</v>
      </c>
      <c r="I38" s="575" t="s">
        <v>582</v>
      </c>
      <c r="J38" s="576">
        <f>'Table 3.40-Form Processing'!D4^-1</f>
        <v>0.96524361753135812</v>
      </c>
      <c r="K38" s="571" t="s">
        <v>239</v>
      </c>
      <c r="L38" s="180">
        <f>J38*F38</f>
        <v>0.1092229514766638</v>
      </c>
      <c r="M38" s="342"/>
      <c r="N38" s="342"/>
      <c r="O38" s="342"/>
      <c r="P38" s="342"/>
      <c r="Q38" s="572"/>
      <c r="R38" s="63"/>
    </row>
    <row r="39" spans="1:20" x14ac:dyDescent="0.6">
      <c r="A39" s="89" t="s">
        <v>751</v>
      </c>
      <c r="B39" s="574">
        <v>0.39050836489030477</v>
      </c>
      <c r="C39" s="571" t="s">
        <v>240</v>
      </c>
      <c r="D39" s="54">
        <v>3.9203843922420463</v>
      </c>
      <c r="E39" s="54"/>
      <c r="F39" s="180">
        <f>B39*D39</f>
        <v>1.5309428987559126</v>
      </c>
      <c r="G39" s="180"/>
      <c r="H39" s="458">
        <f>H38</f>
        <v>2297.4886244433751</v>
      </c>
      <c r="I39" s="180"/>
      <c r="J39" s="576">
        <f>J38</f>
        <v>0.96524361753135812</v>
      </c>
      <c r="K39" s="576"/>
      <c r="L39" s="180">
        <f>J39*F39</f>
        <v>1.4777328618291008</v>
      </c>
      <c r="M39" s="342"/>
      <c r="N39" s="342"/>
      <c r="O39" s="342"/>
      <c r="P39" s="342"/>
      <c r="Q39" s="63"/>
      <c r="R39" s="63"/>
    </row>
    <row r="40" spans="1:20" x14ac:dyDescent="0.6">
      <c r="A40" s="89" t="s">
        <v>752</v>
      </c>
      <c r="B40" s="574">
        <v>2.2881928313357242E-2</v>
      </c>
      <c r="C40" s="571" t="s">
        <v>240</v>
      </c>
      <c r="D40" s="54">
        <v>1.3727750819950504</v>
      </c>
      <c r="E40" s="54"/>
      <c r="F40" s="180">
        <f>B40*D40</f>
        <v>3.1411741016573853E-2</v>
      </c>
      <c r="G40" s="180"/>
      <c r="H40" s="458">
        <f>H39</f>
        <v>2297.4886244433751</v>
      </c>
      <c r="I40" s="180"/>
      <c r="J40" s="576">
        <f>J39</f>
        <v>0.96524361753135812</v>
      </c>
      <c r="K40" s="576"/>
      <c r="L40" s="180">
        <f>J40*F40</f>
        <v>3.0319982531795887E-2</v>
      </c>
      <c r="M40" s="342"/>
      <c r="N40" s="342"/>
      <c r="O40" s="342"/>
      <c r="P40" s="342"/>
      <c r="Q40" s="63"/>
      <c r="R40" s="63"/>
    </row>
    <row r="41" spans="1:20" x14ac:dyDescent="0.6">
      <c r="A41" s="24" t="s">
        <v>145</v>
      </c>
      <c r="B41" s="488"/>
      <c r="C41" s="488"/>
      <c r="D41" s="342"/>
      <c r="E41" s="342"/>
      <c r="F41" s="488"/>
      <c r="G41" s="488"/>
      <c r="H41" s="488"/>
      <c r="I41" s="488"/>
      <c r="J41" s="342"/>
      <c r="K41" s="342"/>
      <c r="L41" s="180">
        <f>SUM(L36:L40)</f>
        <v>1.7865314860952766</v>
      </c>
      <c r="M41" s="342"/>
      <c r="N41" s="203">
        <f>'Table 3.38-Form 3547 Dist'!I18</f>
        <v>0.3069152702729791</v>
      </c>
      <c r="O41" s="575" t="s">
        <v>241</v>
      </c>
      <c r="P41" s="180">
        <f>N41*L41</f>
        <v>0.54831379390611878</v>
      </c>
      <c r="Q41" s="63"/>
    </row>
    <row r="42" spans="1:20" x14ac:dyDescent="0.6">
      <c r="A42" s="24"/>
      <c r="B42" s="488"/>
      <c r="C42" s="488"/>
      <c r="D42" s="342"/>
      <c r="E42" s="342"/>
      <c r="F42" s="488"/>
      <c r="G42" s="488"/>
      <c r="H42" s="488"/>
      <c r="I42" s="488"/>
      <c r="J42" s="342"/>
      <c r="K42" s="342"/>
      <c r="L42" s="180"/>
      <c r="M42" s="342"/>
      <c r="N42" s="203"/>
      <c r="O42" s="575"/>
      <c r="P42" s="180"/>
    </row>
    <row r="43" spans="1:20" x14ac:dyDescent="0.6">
      <c r="A43" s="15" t="s">
        <v>341</v>
      </c>
      <c r="B43" s="488"/>
      <c r="C43" s="488"/>
      <c r="D43" s="342"/>
      <c r="E43" s="342"/>
      <c r="F43" s="180">
        <v>0</v>
      </c>
      <c r="G43" s="488"/>
      <c r="H43" s="587">
        <f>'Table 3.38-Form 3547 Dist'!H16</f>
        <v>1086.331557221569</v>
      </c>
      <c r="I43" s="575" t="s">
        <v>241</v>
      </c>
      <c r="J43" s="576">
        <f>H43/$H$43</f>
        <v>1</v>
      </c>
      <c r="K43" s="342"/>
      <c r="L43" s="180">
        <v>0</v>
      </c>
      <c r="M43" s="342"/>
      <c r="N43" s="203">
        <f>'Table 3.38-Form 3547 Dist'!I16</f>
        <v>0.14007623541221828</v>
      </c>
      <c r="O43" s="575" t="s">
        <v>241</v>
      </c>
      <c r="P43" s="180">
        <f>N43*L43</f>
        <v>0</v>
      </c>
    </row>
    <row r="44" spans="1:20" x14ac:dyDescent="0.6">
      <c r="A44" s="48"/>
      <c r="B44" s="574"/>
      <c r="C44" s="574"/>
      <c r="D44" s="342"/>
      <c r="E44" s="342"/>
      <c r="F44" s="180"/>
      <c r="G44" s="180"/>
      <c r="H44" s="180"/>
      <c r="I44" s="180"/>
      <c r="J44" s="580"/>
      <c r="K44" s="580"/>
      <c r="L44" s="342"/>
      <c r="M44" s="342"/>
      <c r="N44" s="342"/>
      <c r="O44" s="342"/>
      <c r="P44" s="342"/>
    </row>
    <row r="45" spans="1:20" x14ac:dyDescent="0.6">
      <c r="B45" s="574"/>
      <c r="C45" s="574"/>
      <c r="D45" s="342"/>
      <c r="E45" s="342"/>
      <c r="F45" s="180"/>
      <c r="G45" s="180"/>
      <c r="H45" s="180"/>
      <c r="I45" s="180"/>
      <c r="J45" s="342"/>
      <c r="K45" s="342"/>
      <c r="L45" s="342"/>
      <c r="M45" s="342"/>
      <c r="N45" s="342"/>
      <c r="O45" s="581" t="s">
        <v>753</v>
      </c>
      <c r="P45" s="553">
        <f>P41+P33+P43</f>
        <v>1.5362808810776545</v>
      </c>
    </row>
    <row r="46" spans="1:20" x14ac:dyDescent="0.6">
      <c r="A46" s="21"/>
      <c r="B46" s="574"/>
      <c r="C46" s="571"/>
      <c r="D46" s="54"/>
      <c r="E46" s="54"/>
      <c r="F46" s="180"/>
      <c r="G46" s="180"/>
      <c r="H46" s="197"/>
      <c r="I46" s="180"/>
      <c r="J46" s="576"/>
      <c r="K46" s="576"/>
      <c r="L46" s="180"/>
      <c r="M46" s="342"/>
      <c r="N46" s="342"/>
      <c r="O46" s="342"/>
      <c r="P46" s="342"/>
    </row>
    <row r="47" spans="1:20" ht="15.5" x14ac:dyDescent="0.7">
      <c r="A47" s="158" t="s">
        <v>87</v>
      </c>
      <c r="B47" s="574"/>
      <c r="C47" s="574"/>
      <c r="D47" s="342"/>
      <c r="E47" s="342"/>
      <c r="F47" s="180"/>
      <c r="G47" s="180"/>
      <c r="H47" s="180"/>
      <c r="I47" s="180"/>
      <c r="J47" s="342"/>
      <c r="K47" s="342"/>
      <c r="L47" s="342"/>
      <c r="M47" s="342"/>
      <c r="N47" s="342"/>
      <c r="O47" s="342"/>
      <c r="P47" s="180"/>
    </row>
    <row r="48" spans="1:20" ht="15.5" x14ac:dyDescent="0.7">
      <c r="A48" s="158" t="s">
        <v>787</v>
      </c>
      <c r="B48" s="574"/>
      <c r="C48" s="574"/>
      <c r="D48" s="342"/>
      <c r="E48" s="342"/>
      <c r="F48" s="180"/>
      <c r="G48" s="180"/>
      <c r="H48" s="180"/>
      <c r="I48" s="180"/>
      <c r="J48" s="342"/>
      <c r="K48" s="342"/>
      <c r="L48" s="342"/>
      <c r="M48" s="342"/>
      <c r="N48" s="342"/>
      <c r="O48" s="342"/>
      <c r="P48" s="180"/>
      <c r="S48" s="180"/>
      <c r="T48" s="180"/>
    </row>
    <row r="49" spans="1:19" ht="5.15" customHeight="1" x14ac:dyDescent="0.6">
      <c r="A49" s="15"/>
      <c r="B49" s="574"/>
      <c r="C49" s="574"/>
      <c r="D49" s="342"/>
      <c r="E49" s="342"/>
      <c r="F49" s="180"/>
      <c r="G49" s="180"/>
      <c r="H49" s="180"/>
      <c r="I49" s="180"/>
      <c r="J49" s="342"/>
      <c r="K49" s="342"/>
      <c r="L49" s="342"/>
      <c r="M49" s="342"/>
      <c r="N49" s="342"/>
      <c r="O49" s="342"/>
      <c r="P49" s="180"/>
    </row>
    <row r="50" spans="1:19" ht="15.5" x14ac:dyDescent="0.7">
      <c r="A50" s="158" t="s">
        <v>456</v>
      </c>
      <c r="B50" s="582"/>
      <c r="C50" s="582"/>
      <c r="D50" s="140"/>
      <c r="E50" s="140"/>
      <c r="F50" s="140"/>
      <c r="G50" s="140"/>
      <c r="H50" s="140"/>
      <c r="I50" s="140"/>
      <c r="J50" s="140"/>
      <c r="K50" s="140"/>
      <c r="L50" s="140"/>
      <c r="M50" s="140"/>
      <c r="N50" s="140"/>
      <c r="O50" s="140"/>
      <c r="P50" s="140"/>
    </row>
    <row r="51" spans="1:19" ht="26" x14ac:dyDescent="0.6">
      <c r="A51" s="15" t="s">
        <v>339</v>
      </c>
      <c r="B51" s="583" t="s">
        <v>209</v>
      </c>
      <c r="C51" s="583"/>
      <c r="D51" s="584" t="s">
        <v>245</v>
      </c>
      <c r="E51" s="584"/>
      <c r="F51" s="583" t="s">
        <v>208</v>
      </c>
      <c r="G51" s="583"/>
      <c r="H51" s="583" t="s">
        <v>109</v>
      </c>
      <c r="I51" s="583"/>
      <c r="J51" s="585" t="s">
        <v>97</v>
      </c>
      <c r="K51" s="585"/>
      <c r="L51" s="584" t="s">
        <v>140</v>
      </c>
      <c r="M51" s="342"/>
      <c r="N51" s="586" t="s">
        <v>139</v>
      </c>
      <c r="O51" s="585"/>
      <c r="P51" s="584" t="s">
        <v>221</v>
      </c>
      <c r="S51" s="25"/>
    </row>
    <row r="52" spans="1:19" x14ac:dyDescent="0.6">
      <c r="A52" s="89" t="s">
        <v>754</v>
      </c>
      <c r="B52" s="574">
        <f>(B6*H6+B28*H28)/H52</f>
        <v>8.5343131939827083E-3</v>
      </c>
      <c r="C52" s="571"/>
      <c r="D52" s="54"/>
      <c r="E52" s="54"/>
      <c r="F52" s="180">
        <f>(F6*H6+F28*H28)/H52</f>
        <v>1.4949318542716441E-2</v>
      </c>
      <c r="G52" s="180"/>
      <c r="H52" s="458">
        <f>SUM(H6,H28)</f>
        <v>44052.766047290206</v>
      </c>
      <c r="I52" s="575" t="s">
        <v>241</v>
      </c>
      <c r="J52" s="576">
        <f>H52/SUM($H$52:$H$53)</f>
        <v>0.99194915568623099</v>
      </c>
      <c r="K52" s="576"/>
      <c r="L52" s="180">
        <f>J52*F52</f>
        <v>1.4828963906532091E-2</v>
      </c>
      <c r="M52" s="342"/>
      <c r="N52" s="342"/>
      <c r="O52" s="342"/>
      <c r="P52" s="342"/>
    </row>
    <row r="53" spans="1:19" x14ac:dyDescent="0.6">
      <c r="A53" s="21" t="s">
        <v>749</v>
      </c>
      <c r="B53" s="574">
        <f>B29</f>
        <v>0.1246564581403633</v>
      </c>
      <c r="C53" s="571"/>
      <c r="D53" s="54"/>
      <c r="E53" s="54"/>
      <c r="F53" s="574">
        <f>F29</f>
        <v>0.18832790598403226</v>
      </c>
      <c r="G53" s="180"/>
      <c r="H53" s="458">
        <f>H29</f>
        <v>357.54046364631614</v>
      </c>
      <c r="I53" s="575"/>
      <c r="J53" s="576">
        <f>H53/SUM($H$52:$H$53)</f>
        <v>8.0508443137691007E-3</v>
      </c>
      <c r="K53" s="576"/>
      <c r="L53" s="180">
        <f>J53*F53</f>
        <v>1.5161986510155879E-3</v>
      </c>
      <c r="M53" s="342"/>
      <c r="N53" s="342"/>
      <c r="O53" s="342"/>
      <c r="P53" s="342"/>
    </row>
    <row r="54" spans="1:19" x14ac:dyDescent="0.6">
      <c r="A54" s="89" t="s">
        <v>750</v>
      </c>
      <c r="B54" s="574">
        <f>(B7*H7+B30*H30)/H54</f>
        <v>4.6623423656279105E-2</v>
      </c>
      <c r="C54" s="571"/>
      <c r="D54" s="54"/>
      <c r="E54" s="54"/>
      <c r="F54" s="574">
        <f>(F7*H7+F30*H30)/H54</f>
        <v>8.1668951671607676E-2</v>
      </c>
      <c r="G54" s="180"/>
      <c r="H54" s="458">
        <f>SUM(H7,H30)</f>
        <v>44261.245417003709</v>
      </c>
      <c r="I54" s="575"/>
      <c r="J54" s="576">
        <f>H54/SUM($H$52:$H$53)</f>
        <v>0.99664354728341942</v>
      </c>
      <c r="K54" s="571"/>
      <c r="L54" s="180">
        <f>J54*F54</f>
        <v>8.1394833696909225E-2</v>
      </c>
      <c r="M54" s="342"/>
      <c r="N54" s="342"/>
      <c r="O54" s="342"/>
      <c r="P54" s="342"/>
      <c r="R54" s="63"/>
      <c r="S54" s="597"/>
    </row>
    <row r="55" spans="1:19" x14ac:dyDescent="0.6">
      <c r="A55" s="89" t="s">
        <v>751</v>
      </c>
      <c r="B55" s="574">
        <f>(B8*H8+B31*H31)/H55</f>
        <v>0.21274000387141959</v>
      </c>
      <c r="C55" s="571"/>
      <c r="D55" s="54"/>
      <c r="E55" s="54"/>
      <c r="F55" s="574">
        <f>(F8*H8+F31*H31)/H55</f>
        <v>0.83402259078302599</v>
      </c>
      <c r="G55" s="180"/>
      <c r="H55" s="458">
        <f>SUM(H8,H31)</f>
        <v>44261.245417003709</v>
      </c>
      <c r="I55" s="575"/>
      <c r="J55" s="576">
        <f>H55/SUM($H$52:$H$53)</f>
        <v>0.99664354728341942</v>
      </c>
      <c r="K55" s="576"/>
      <c r="L55" s="180">
        <f>J55*F55</f>
        <v>0.8312232333925027</v>
      </c>
      <c r="M55" s="342"/>
      <c r="N55" s="342"/>
      <c r="O55" s="342"/>
      <c r="P55" s="342"/>
      <c r="R55" s="63"/>
    </row>
    <row r="56" spans="1:19" x14ac:dyDescent="0.6">
      <c r="A56" s="89" t="s">
        <v>752</v>
      </c>
      <c r="B56" s="574">
        <f>(B9*H9+B32*H32)/H56</f>
        <v>2.2881928313357242E-2</v>
      </c>
      <c r="C56" s="571"/>
      <c r="D56" s="54"/>
      <c r="E56" s="54"/>
      <c r="F56" s="574">
        <f>(F9*H9+F32*H32)/H56</f>
        <v>3.1411741016573853E-2</v>
      </c>
      <c r="G56" s="180"/>
      <c r="H56" s="458">
        <f>SUM(H9,H32)</f>
        <v>44261.245417003709</v>
      </c>
      <c r="I56" s="575"/>
      <c r="J56" s="576">
        <f>H56/SUM($H$52:$H$53)</f>
        <v>0.99664354728341942</v>
      </c>
      <c r="K56" s="576"/>
      <c r="L56" s="180">
        <f>J56*F56</f>
        <v>3.1306308993106248E-2</v>
      </c>
      <c r="M56" s="342"/>
      <c r="N56" s="342"/>
      <c r="O56" s="342"/>
      <c r="P56" s="342"/>
      <c r="R56" s="63"/>
      <c r="S56" s="25"/>
    </row>
    <row r="57" spans="1:19" x14ac:dyDescent="0.6">
      <c r="A57" s="25" t="s">
        <v>146</v>
      </c>
      <c r="B57" s="488"/>
      <c r="C57" s="488"/>
      <c r="D57" s="342"/>
      <c r="E57" s="342"/>
      <c r="F57" s="488"/>
      <c r="G57" s="488"/>
      <c r="H57" s="488"/>
      <c r="I57" s="488"/>
      <c r="J57" s="576"/>
      <c r="K57" s="576"/>
      <c r="L57" s="180">
        <f>SUM(L52:L56)</f>
        <v>0.96026953864006592</v>
      </c>
      <c r="M57" s="342"/>
      <c r="N57" s="203">
        <f>'Table 3.38-Form 3547 Dist'!I26</f>
        <v>0.69392524322287119</v>
      </c>
      <c r="O57" s="575" t="s">
        <v>241</v>
      </c>
      <c r="P57" s="180">
        <f>N57*L57</f>
        <v>0.66635527316032206</v>
      </c>
    </row>
    <row r="58" spans="1:19" x14ac:dyDescent="0.6">
      <c r="B58" s="574"/>
      <c r="C58" s="574"/>
      <c r="D58" s="342"/>
      <c r="E58" s="342"/>
      <c r="F58" s="180"/>
      <c r="G58" s="180"/>
      <c r="H58" s="180"/>
      <c r="I58" s="180"/>
      <c r="J58" s="576"/>
      <c r="K58" s="342"/>
      <c r="L58" s="342"/>
      <c r="M58" s="342"/>
      <c r="N58" s="203"/>
      <c r="O58" s="203"/>
      <c r="P58" s="342"/>
    </row>
    <row r="59" spans="1:19" x14ac:dyDescent="0.6">
      <c r="A59" s="15" t="s">
        <v>340</v>
      </c>
      <c r="B59" s="574"/>
      <c r="C59" s="574"/>
      <c r="D59" s="342"/>
      <c r="E59" s="342"/>
      <c r="F59" s="180"/>
      <c r="G59" s="180"/>
      <c r="H59" s="180"/>
      <c r="I59" s="180"/>
      <c r="J59" s="576"/>
      <c r="K59" s="342"/>
      <c r="L59" s="342"/>
      <c r="M59" s="342"/>
      <c r="N59" s="342"/>
      <c r="O59" s="342"/>
      <c r="P59" s="342"/>
    </row>
    <row r="60" spans="1:19" x14ac:dyDescent="0.6">
      <c r="A60" s="89" t="s">
        <v>754</v>
      </c>
      <c r="B60" s="574">
        <f>(B13*H13+B36*H36)/H60</f>
        <v>3.9127738276458005E-2</v>
      </c>
      <c r="C60" s="571"/>
      <c r="D60" s="54"/>
      <c r="E60" s="54"/>
      <c r="F60" s="180">
        <f>(F13*H13+F36*H36)/H60</f>
        <v>6.8538968521008645E-2</v>
      </c>
      <c r="G60" s="180"/>
      <c r="H60" s="458">
        <f>SUM(H13,H36)</f>
        <v>5332.6577206647562</v>
      </c>
      <c r="I60" s="575" t="s">
        <v>241</v>
      </c>
      <c r="J60" s="576">
        <f>H60/SUM($H$60:$H$61)</f>
        <v>0.96412423390828661</v>
      </c>
      <c r="K60" s="576"/>
      <c r="L60" s="180">
        <f>J60*F60</f>
        <v>6.6080080518181636E-2</v>
      </c>
      <c r="M60" s="342"/>
      <c r="N60" s="342"/>
      <c r="O60" s="342"/>
      <c r="P60" s="342"/>
    </row>
    <row r="61" spans="1:19" x14ac:dyDescent="0.6">
      <c r="A61" s="21" t="s">
        <v>749</v>
      </c>
      <c r="B61" s="574">
        <f>B37</f>
        <v>0.1246564581403633</v>
      </c>
      <c r="C61" s="571"/>
      <c r="D61" s="54"/>
      <c r="E61" s="54"/>
      <c r="F61" s="574">
        <f>F37</f>
        <v>0.18832790598403226</v>
      </c>
      <c r="G61" s="180"/>
      <c r="H61" s="458">
        <f>H37</f>
        <v>198.43208406681083</v>
      </c>
      <c r="I61" s="575"/>
      <c r="J61" s="576">
        <f>H61/SUM($H$60:$H$61)</f>
        <v>3.5875766091713474E-2</v>
      </c>
      <c r="K61" s="576"/>
      <c r="L61" s="180">
        <f>J61*F61</f>
        <v>6.756407903625348E-3</v>
      </c>
      <c r="M61" s="342"/>
      <c r="N61" s="342"/>
      <c r="O61" s="342"/>
      <c r="P61" s="342"/>
    </row>
    <row r="62" spans="1:19" x14ac:dyDescent="0.6">
      <c r="A62" s="89" t="s">
        <v>750</v>
      </c>
      <c r="B62" s="574">
        <f>(B14*H14+B38*H38)/H62</f>
        <v>5.3130755862613795E-2</v>
      </c>
      <c r="C62" s="571"/>
      <c r="D62" s="54"/>
      <c r="E62" s="54"/>
      <c r="F62" s="574">
        <f>(F14*H14+F38*H38)/H62</f>
        <v>9.3067664116841628E-2</v>
      </c>
      <c r="G62" s="180"/>
      <c r="H62" s="458">
        <f>SUM(H14,H38)</f>
        <v>5448.3620954795406</v>
      </c>
      <c r="I62" s="575"/>
      <c r="J62" s="576">
        <f>H62/SUM($H$60:$H$61)</f>
        <v>0.9850431448100414</v>
      </c>
      <c r="K62" s="571"/>
      <c r="L62" s="180">
        <f>J62*F62</f>
        <v>9.1675664541778321E-2</v>
      </c>
      <c r="M62" s="342"/>
      <c r="N62" s="342"/>
      <c r="O62" s="342"/>
      <c r="P62" s="342"/>
      <c r="R62" s="63"/>
    </row>
    <row r="63" spans="1:19" x14ac:dyDescent="0.6">
      <c r="A63" s="89" t="s">
        <v>751</v>
      </c>
      <c r="B63" s="574">
        <f>(B15*H15+B39*H39)/H63</f>
        <v>0.27709474308757343</v>
      </c>
      <c r="C63" s="571"/>
      <c r="D63" s="54"/>
      <c r="E63" s="54"/>
      <c r="F63" s="574">
        <f>(F15*H15+F39*H39)/H63</f>
        <v>1.0863179059728425</v>
      </c>
      <c r="G63" s="180"/>
      <c r="H63" s="458">
        <f>SUM(H15,H39)</f>
        <v>5448.3620954795406</v>
      </c>
      <c r="I63" s="180"/>
      <c r="J63" s="576">
        <f>H63/SUM($H$60:$H$61)</f>
        <v>0.9850431448100414</v>
      </c>
      <c r="K63" s="576"/>
      <c r="L63" s="180">
        <f>J63*F63</f>
        <v>1.0700700063629476</v>
      </c>
      <c r="M63" s="342"/>
      <c r="N63" s="342"/>
      <c r="O63" s="342"/>
      <c r="P63" s="342"/>
      <c r="R63" s="63"/>
    </row>
    <row r="64" spans="1:19" x14ac:dyDescent="0.6">
      <c r="A64" s="89" t="s">
        <v>752</v>
      </c>
      <c r="B64" s="574">
        <f>(B16*H16+B40*H40)/H64</f>
        <v>2.2881928313357242E-2</v>
      </c>
      <c r="C64" s="571"/>
      <c r="D64" s="54"/>
      <c r="E64" s="54"/>
      <c r="F64" s="574">
        <f>(F16*H16+F40*H40)/H64</f>
        <v>3.1411741016573853E-2</v>
      </c>
      <c r="G64" s="180"/>
      <c r="H64" s="458">
        <f>SUM(H16,H40)</f>
        <v>5448.3620954795406</v>
      </c>
      <c r="I64" s="180"/>
      <c r="J64" s="576">
        <f>H64/SUM($H$60:$H$61)</f>
        <v>0.9850431448100414</v>
      </c>
      <c r="K64" s="576"/>
      <c r="L64" s="180">
        <f>J64*F64</f>
        <v>3.0941920154924474E-2</v>
      </c>
      <c r="M64" s="342"/>
      <c r="N64" s="342"/>
      <c r="O64" s="342"/>
      <c r="P64" s="342"/>
      <c r="R64" s="63"/>
    </row>
    <row r="65" spans="1:17" x14ac:dyDescent="0.6">
      <c r="A65" s="24" t="s">
        <v>145</v>
      </c>
      <c r="B65" s="488"/>
      <c r="C65" s="488"/>
      <c r="D65" s="342"/>
      <c r="E65" s="342"/>
      <c r="F65" s="488"/>
      <c r="G65" s="488"/>
      <c r="H65" s="488"/>
      <c r="I65" s="488"/>
      <c r="J65" s="342"/>
      <c r="K65" s="342"/>
      <c r="L65" s="180">
        <f>SUM(L60:L64)</f>
        <v>1.2655240794814575</v>
      </c>
      <c r="M65" s="342"/>
      <c r="N65" s="203">
        <f>'Table 3.38-Form 3547 Dist'!I27</f>
        <v>8.6425047237417882E-2</v>
      </c>
      <c r="O65" s="575" t="s">
        <v>241</v>
      </c>
      <c r="P65" s="180">
        <f>N65*L65</f>
        <v>0.10937297834927474</v>
      </c>
    </row>
    <row r="66" spans="1:17" x14ac:dyDescent="0.6">
      <c r="A66" s="24"/>
      <c r="B66" s="488"/>
      <c r="C66" s="488"/>
      <c r="D66" s="342"/>
      <c r="E66" s="342"/>
      <c r="F66" s="488"/>
      <c r="G66" s="488"/>
      <c r="H66" s="488"/>
      <c r="I66" s="488"/>
      <c r="J66" s="342"/>
      <c r="K66" s="342"/>
      <c r="L66" s="180"/>
      <c r="M66" s="342"/>
      <c r="N66" s="203"/>
      <c r="O66" s="575"/>
      <c r="P66" s="180"/>
    </row>
    <row r="67" spans="1:17" x14ac:dyDescent="0.6">
      <c r="A67" s="15" t="s">
        <v>341</v>
      </c>
      <c r="B67" s="488"/>
      <c r="C67" s="488"/>
      <c r="D67" s="342"/>
      <c r="E67" s="342"/>
      <c r="F67" s="180">
        <v>0</v>
      </c>
      <c r="G67" s="488"/>
      <c r="H67" s="458">
        <f>SUM(H19,H43)</f>
        <v>14057.293665225225</v>
      </c>
      <c r="I67" s="575"/>
      <c r="J67" s="576"/>
      <c r="K67" s="342"/>
      <c r="L67" s="180">
        <v>0</v>
      </c>
      <c r="M67" s="342"/>
      <c r="N67" s="203">
        <f>'Table 3.38-Form 3547 Dist'!I25</f>
        <v>0.21964970953971094</v>
      </c>
      <c r="O67" s="575" t="s">
        <v>241</v>
      </c>
      <c r="P67" s="180">
        <f>N67*L67</f>
        <v>0</v>
      </c>
    </row>
    <row r="68" spans="1:17" x14ac:dyDescent="0.6">
      <c r="A68" s="48"/>
      <c r="B68" s="85"/>
      <c r="C68" s="85"/>
      <c r="D68" s="48"/>
      <c r="E68" s="48"/>
      <c r="F68" s="92"/>
      <c r="G68" s="92"/>
      <c r="H68" s="92"/>
      <c r="I68" s="92"/>
      <c r="J68" s="182"/>
      <c r="K68" s="182"/>
      <c r="L68" s="48"/>
      <c r="M68" s="48"/>
      <c r="N68" s="48"/>
      <c r="O68" s="48"/>
      <c r="P68" s="48"/>
    </row>
    <row r="69" spans="1:17" x14ac:dyDescent="0.6">
      <c r="A69" s="15"/>
      <c r="B69" s="85"/>
      <c r="C69" s="85"/>
      <c r="D69" s="48"/>
      <c r="E69" s="48"/>
      <c r="F69" s="92"/>
      <c r="G69" s="92"/>
      <c r="H69" s="92"/>
      <c r="I69" s="92"/>
      <c r="J69" s="48"/>
      <c r="K69" s="48"/>
      <c r="L69" s="48"/>
      <c r="M69" s="48"/>
      <c r="N69" s="48"/>
      <c r="O69" s="459" t="s">
        <v>454</v>
      </c>
      <c r="P69" s="413">
        <f>P65+P57+P67</f>
        <v>0.77572825150959679</v>
      </c>
    </row>
    <row r="70" spans="1:17" hidden="1" x14ac:dyDescent="0.6">
      <c r="A70" s="21"/>
      <c r="B70" s="85"/>
      <c r="C70" s="286"/>
      <c r="D70" s="54"/>
      <c r="E70" s="54"/>
      <c r="F70" s="92"/>
      <c r="G70" s="92"/>
      <c r="H70" s="197"/>
      <c r="I70" s="92"/>
      <c r="J70" s="179"/>
      <c r="K70" s="179"/>
      <c r="L70" s="92"/>
      <c r="M70" s="48"/>
      <c r="N70" s="48"/>
      <c r="O70" s="48"/>
      <c r="P70" s="48"/>
    </row>
    <row r="71" spans="1:17" hidden="1" x14ac:dyDescent="0.6">
      <c r="A71" s="15"/>
      <c r="B71" s="83"/>
      <c r="C71" s="83"/>
      <c r="D71" s="48"/>
      <c r="E71" s="48"/>
      <c r="F71" s="83"/>
      <c r="G71" s="83"/>
      <c r="H71" s="83"/>
      <c r="I71" s="83"/>
      <c r="J71" s="48"/>
      <c r="K71" s="48"/>
      <c r="L71" s="92"/>
      <c r="M71" s="48"/>
      <c r="N71" s="181"/>
      <c r="O71" s="181"/>
      <c r="P71" s="413"/>
    </row>
    <row r="72" spans="1:17" hidden="1" x14ac:dyDescent="0.6">
      <c r="A72" s="15"/>
      <c r="B72" s="83"/>
      <c r="C72" s="83"/>
      <c r="D72" s="48"/>
      <c r="E72" s="48"/>
      <c r="F72" s="83"/>
      <c r="G72" s="457" t="s">
        <v>451</v>
      </c>
      <c r="H72" s="414">
        <v>5.4569682106375694E-12</v>
      </c>
      <c r="I72" s="83"/>
      <c r="J72" s="48"/>
      <c r="K72" s="48"/>
      <c r="L72" s="92"/>
      <c r="M72" s="48"/>
      <c r="N72" s="181" t="s">
        <v>188</v>
      </c>
      <c r="O72" s="181"/>
      <c r="P72" s="414">
        <f>(L10*H6+L17*H13+L19*H19)-P21*SUM(H6,H13,H19)</f>
        <v>0</v>
      </c>
    </row>
    <row r="73" spans="1:17" hidden="1" x14ac:dyDescent="0.6">
      <c r="A73" s="15"/>
      <c r="B73" s="83"/>
      <c r="C73" s="83"/>
      <c r="D73" s="48"/>
      <c r="H73" s="414">
        <v>0</v>
      </c>
      <c r="I73" s="83"/>
      <c r="J73" s="48"/>
      <c r="K73" s="48"/>
      <c r="L73" s="92"/>
      <c r="M73" s="48"/>
      <c r="N73" s="181"/>
      <c r="O73" s="181"/>
      <c r="P73" s="414">
        <f>(SUM(H28:H29)*L33+SUM(H36:H37)*L41+H43*L43)-P45*SUM(H28:H29,H36:H37,H43)</f>
        <v>0</v>
      </c>
    </row>
    <row r="74" spans="1:17" hidden="1" x14ac:dyDescent="0.6">
      <c r="A74" s="15"/>
      <c r="B74" s="83"/>
      <c r="C74" s="83"/>
      <c r="D74" s="48"/>
      <c r="H74" s="414">
        <v>0</v>
      </c>
      <c r="I74" s="83"/>
      <c r="J74" s="48"/>
      <c r="K74" s="48"/>
      <c r="L74" s="92"/>
      <c r="M74" s="48"/>
      <c r="N74" s="181"/>
      <c r="O74" s="181"/>
      <c r="P74" s="414">
        <f>(SUM(H52:H53)*L57+SUM(H60:H61)*L65+H67*L67)-P69*SUM(H52:H53,H60:H61,H67)</f>
        <v>0</v>
      </c>
      <c r="Q74" s="53"/>
    </row>
    <row r="75" spans="1:17" hidden="1" x14ac:dyDescent="0.6">
      <c r="A75" s="15"/>
      <c r="B75" s="83"/>
      <c r="C75" s="83"/>
      <c r="D75" s="48"/>
      <c r="E75" s="48"/>
      <c r="F75" s="83"/>
      <c r="G75" s="83"/>
      <c r="H75" s="414">
        <v>0</v>
      </c>
      <c r="I75" s="83"/>
      <c r="J75" s="48"/>
      <c r="K75" s="48"/>
      <c r="L75" s="92"/>
      <c r="M75" s="48"/>
      <c r="N75" s="181"/>
      <c r="O75" s="181"/>
      <c r="P75" s="414">
        <f>P69-'Table 3.41-Man Notice'!F25</f>
        <v>0</v>
      </c>
    </row>
    <row r="76" spans="1:17" hidden="1" x14ac:dyDescent="0.6">
      <c r="A76" s="15"/>
      <c r="B76" s="83"/>
      <c r="C76" s="83"/>
      <c r="D76" s="48"/>
      <c r="E76" s="48"/>
      <c r="F76" s="83"/>
      <c r="G76" s="83"/>
      <c r="H76" s="414">
        <v>0</v>
      </c>
      <c r="I76" s="83"/>
      <c r="J76" s="48"/>
      <c r="K76" s="48"/>
      <c r="L76" s="92"/>
      <c r="M76" s="48"/>
      <c r="N76" s="181"/>
      <c r="O76" s="181"/>
      <c r="P76" s="461"/>
    </row>
    <row r="77" spans="1:17" hidden="1" x14ac:dyDescent="0.6">
      <c r="A77" s="15"/>
      <c r="B77" s="83"/>
      <c r="C77" s="83"/>
      <c r="D77" s="48"/>
      <c r="E77" s="48"/>
      <c r="F77" s="83"/>
      <c r="G77" s="457" t="s">
        <v>452</v>
      </c>
      <c r="H77" s="414">
        <v>5.4569682106375694E-12</v>
      </c>
      <c r="I77" s="83"/>
      <c r="J77" s="48"/>
      <c r="K77" s="48"/>
      <c r="L77" s="92"/>
      <c r="M77" s="48"/>
      <c r="N77" s="181"/>
      <c r="O77" s="181"/>
      <c r="P77" s="461"/>
    </row>
    <row r="78" spans="1:17" hidden="1" x14ac:dyDescent="0.6">
      <c r="A78" s="15"/>
      <c r="B78" s="83"/>
      <c r="C78" s="83"/>
      <c r="D78" s="48"/>
      <c r="E78" s="48"/>
      <c r="F78" s="83"/>
      <c r="G78" s="457"/>
      <c r="H78" s="414">
        <v>0</v>
      </c>
      <c r="I78" s="83"/>
      <c r="J78" s="48"/>
      <c r="K78" s="48"/>
      <c r="L78" s="92"/>
      <c r="M78" s="48"/>
      <c r="N78" s="181"/>
      <c r="O78" s="181"/>
      <c r="P78" s="461"/>
    </row>
    <row r="79" spans="1:17" x14ac:dyDescent="0.6">
      <c r="A79" s="141"/>
      <c r="B79" s="289"/>
      <c r="C79" s="289"/>
      <c r="D79" s="141"/>
      <c r="E79" s="141"/>
      <c r="F79" s="141"/>
      <c r="G79" s="141"/>
      <c r="H79" s="141"/>
      <c r="I79" s="141"/>
      <c r="J79" s="141"/>
      <c r="K79" s="141"/>
      <c r="L79" s="141"/>
    </row>
    <row r="80" spans="1:17" x14ac:dyDescent="0.6">
      <c r="A80" s="47" t="s">
        <v>235</v>
      </c>
      <c r="B80" s="45"/>
      <c r="C80" s="45"/>
    </row>
    <row r="81" spans="1:7" x14ac:dyDescent="0.6">
      <c r="A81" s="25" t="s">
        <v>788</v>
      </c>
      <c r="B81" s="145"/>
      <c r="G81" s="145" t="s">
        <v>755</v>
      </c>
    </row>
    <row r="82" spans="1:7" x14ac:dyDescent="0.6">
      <c r="A82" s="25" t="s">
        <v>756</v>
      </c>
      <c r="B82" s="407"/>
      <c r="C82" s="243"/>
      <c r="D82" s="140"/>
      <c r="G82" s="25" t="s">
        <v>789</v>
      </c>
    </row>
    <row r="83" spans="1:7" x14ac:dyDescent="0.6">
      <c r="A83" s="145" t="s">
        <v>757</v>
      </c>
      <c r="G83" s="25" t="s">
        <v>790</v>
      </c>
    </row>
    <row r="84" spans="1:7" x14ac:dyDescent="0.6">
      <c r="A84" s="25" t="s">
        <v>791</v>
      </c>
      <c r="G84" s="407" t="s">
        <v>758</v>
      </c>
    </row>
    <row r="85" spans="1:7" x14ac:dyDescent="0.6">
      <c r="A85" s="25" t="s">
        <v>11</v>
      </c>
    </row>
    <row r="86" spans="1:7" x14ac:dyDescent="0.6">
      <c r="A86" s="145" t="s">
        <v>88</v>
      </c>
    </row>
  </sheetData>
  <phoneticPr fontId="0" type="noConversion"/>
  <printOptions horizontalCentered="1"/>
  <pageMargins left="0.75" right="0.75" top="1" bottom="1" header="0.5" footer="0.5"/>
  <pageSetup scale="81" fitToHeight="3" orientation="landscape" r:id="rId1"/>
  <headerFooter alignWithMargins="0">
    <oddFooter>&amp;L&amp;F</oddFooter>
  </headerFooter>
  <rowBreaks count="2" manualBreakCount="2">
    <brk id="22" max="15" man="1"/>
    <brk id="46" max="15"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5">
    <pageSetUpPr fitToPage="1"/>
  </sheetPr>
  <dimension ref="A1:R27"/>
  <sheetViews>
    <sheetView zoomScale="70" workbookViewId="0"/>
  </sheetViews>
  <sheetFormatPr defaultColWidth="9.08984375" defaultRowHeight="13" x14ac:dyDescent="0.6"/>
  <cols>
    <col min="1" max="1" width="42.453125" style="11" customWidth="1"/>
    <col min="2" max="2" width="8.86328125" style="38" customWidth="1"/>
    <col min="3" max="3" width="3.453125" style="38" customWidth="1"/>
    <col min="4" max="4" width="10.6796875" style="11" customWidth="1"/>
    <col min="5" max="5" width="3.453125" style="11" customWidth="1"/>
    <col min="6" max="6" width="9.86328125" style="11" customWidth="1"/>
    <col min="7" max="7" width="3.453125" style="11" customWidth="1"/>
    <col min="8" max="8" width="10.6796875" style="11" customWidth="1"/>
    <col min="9" max="9" width="3.453125" style="11" customWidth="1"/>
    <col min="10" max="10" width="10.6796875" style="11" customWidth="1"/>
    <col min="11" max="11" width="3.453125" style="11" customWidth="1"/>
    <col min="12" max="12" width="11.6796875" style="11" customWidth="1"/>
    <col min="13" max="13" width="3.453125" style="11" customWidth="1"/>
    <col min="14" max="14" width="8.6796875" style="11" customWidth="1"/>
    <col min="15" max="15" width="3.453125" style="11" customWidth="1"/>
    <col min="16" max="16" width="14.54296875" style="11" customWidth="1"/>
    <col min="17" max="17" width="10.54296875" style="11" bestFit="1" customWidth="1"/>
    <col min="18" max="18" width="12" style="11" customWidth="1"/>
    <col min="19" max="16384" width="9.08984375" style="11"/>
  </cols>
  <sheetData>
    <row r="1" spans="1:18" ht="15.5" x14ac:dyDescent="0.7">
      <c r="A1" s="158" t="s">
        <v>555</v>
      </c>
    </row>
    <row r="2" spans="1:18" ht="15.5" x14ac:dyDescent="0.7">
      <c r="A2" s="158" t="s">
        <v>787</v>
      </c>
    </row>
    <row r="3" spans="1:18" ht="5.15" customHeight="1" x14ac:dyDescent="0.7">
      <c r="A3" s="454"/>
    </row>
    <row r="4" spans="1:18" x14ac:dyDescent="0.6">
      <c r="A4" s="15"/>
      <c r="B4" s="83"/>
      <c r="C4" s="83"/>
      <c r="D4" s="48"/>
      <c r="E4" s="48"/>
      <c r="F4" s="83"/>
      <c r="G4" s="83"/>
      <c r="H4" s="83"/>
      <c r="I4" s="83"/>
      <c r="J4" s="48"/>
      <c r="K4" s="48"/>
      <c r="L4" s="92"/>
      <c r="M4" s="48"/>
      <c r="N4" s="181"/>
      <c r="O4" s="181"/>
      <c r="P4" s="413"/>
    </row>
    <row r="5" spans="1:18" ht="15.5" x14ac:dyDescent="0.7">
      <c r="A5" s="158" t="s">
        <v>760</v>
      </c>
      <c r="B5" s="45"/>
      <c r="C5" s="45"/>
    </row>
    <row r="6" spans="1:18" ht="26" x14ac:dyDescent="0.6">
      <c r="A6" s="15"/>
      <c r="B6" s="176" t="s">
        <v>209</v>
      </c>
      <c r="C6" s="176"/>
      <c r="D6" s="177" t="s">
        <v>245</v>
      </c>
      <c r="E6" s="177"/>
      <c r="F6" s="176" t="s">
        <v>208</v>
      </c>
      <c r="G6" s="176"/>
      <c r="H6" s="176" t="s">
        <v>109</v>
      </c>
      <c r="I6" s="176"/>
      <c r="J6" s="178" t="s">
        <v>97</v>
      </c>
      <c r="K6" s="178"/>
      <c r="L6" s="177" t="s">
        <v>140</v>
      </c>
      <c r="M6" s="48"/>
      <c r="N6" s="178" t="s">
        <v>139</v>
      </c>
      <c r="O6" s="178"/>
      <c r="P6" s="177" t="s">
        <v>221</v>
      </c>
    </row>
    <row r="7" spans="1:18" x14ac:dyDescent="0.6">
      <c r="A7" s="89" t="s">
        <v>141</v>
      </c>
      <c r="B7" s="85">
        <v>0.55175916214552956</v>
      </c>
      <c r="C7" s="288" t="s">
        <v>241</v>
      </c>
      <c r="D7" s="54">
        <v>1.7516721267338493</v>
      </c>
      <c r="E7" s="54"/>
      <c r="F7" s="92">
        <f>B7*D7</f>
        <v>0.96650114500034656</v>
      </c>
      <c r="G7" s="92"/>
      <c r="H7" s="135">
        <f>'Table 3.39-Form 3579 Dist'!B5</f>
        <v>7277.5751962379309</v>
      </c>
      <c r="I7" s="288" t="s">
        <v>240</v>
      </c>
      <c r="J7" s="179">
        <f>H7/SUM($H$7:$H$8)</f>
        <v>0.56239069836320355</v>
      </c>
      <c r="K7" s="179"/>
      <c r="L7" s="92">
        <f>J7*F7</f>
        <v>0.54355125390558079</v>
      </c>
      <c r="M7" s="48"/>
      <c r="N7" s="48"/>
      <c r="O7" s="48"/>
      <c r="P7" s="48"/>
      <c r="R7" s="63"/>
    </row>
    <row r="8" spans="1:18" x14ac:dyDescent="0.6">
      <c r="A8" s="21" t="s">
        <v>749</v>
      </c>
      <c r="B8" s="85">
        <v>0.55175916214552945</v>
      </c>
      <c r="C8" s="288" t="s">
        <v>243</v>
      </c>
      <c r="D8" s="54">
        <v>1.5107753644979616</v>
      </c>
      <c r="E8" s="54"/>
      <c r="F8" s="92">
        <f>B8*D8</f>
        <v>0.83358414930550218</v>
      </c>
      <c r="G8" s="92"/>
      <c r="H8" s="135">
        <f>'Table 3.39-Form 3579 Dist'!B6</f>
        <v>5662.8507699431848</v>
      </c>
      <c r="I8" s="288" t="s">
        <v>240</v>
      </c>
      <c r="J8" s="179">
        <f>H8/SUM($H$7:$H$8)</f>
        <v>0.43760930163679645</v>
      </c>
      <c r="K8" s="179"/>
      <c r="L8" s="92">
        <f>J8*F8</f>
        <v>0.36478417743308389</v>
      </c>
      <c r="M8" s="48"/>
      <c r="N8" s="48"/>
      <c r="O8" s="48"/>
      <c r="P8" s="48"/>
      <c r="R8" s="63"/>
    </row>
    <row r="9" spans="1:18" x14ac:dyDescent="0.6">
      <c r="A9" s="89" t="s">
        <v>750</v>
      </c>
      <c r="B9" s="85">
        <f>'Table 3.40-Form Processing'!$B$6</f>
        <v>0.211409691126763</v>
      </c>
      <c r="C9" s="286" t="s">
        <v>238</v>
      </c>
      <c r="D9" s="54">
        <v>1.7516721267338493</v>
      </c>
      <c r="E9" s="54"/>
      <c r="F9" s="92">
        <f>B9*D9</f>
        <v>0.37032046326816315</v>
      </c>
      <c r="G9" s="92"/>
      <c r="H9" s="135">
        <f>SUM(H7:H8)/'Table 3.40-Form Processing'!D6</f>
        <v>1552.1048553114103</v>
      </c>
      <c r="I9" s="288" t="s">
        <v>242</v>
      </c>
      <c r="J9" s="179">
        <f>'Table 3.40-Form Processing'!D6^-1</f>
        <v>0.11994233106141375</v>
      </c>
      <c r="K9" s="286" t="s">
        <v>238</v>
      </c>
      <c r="L9" s="92">
        <f>J9*F9</f>
        <v>4.4417099604126133E-2</v>
      </c>
      <c r="M9" s="48"/>
      <c r="N9" s="48"/>
      <c r="O9" s="48"/>
      <c r="P9" s="48"/>
      <c r="R9" s="63"/>
    </row>
    <row r="10" spans="1:18" x14ac:dyDescent="0.6">
      <c r="A10" s="89" t="s">
        <v>751</v>
      </c>
      <c r="B10" s="85">
        <v>0.39050836489030477</v>
      </c>
      <c r="C10" s="286" t="s">
        <v>239</v>
      </c>
      <c r="D10" s="54">
        <v>3.9203843922420463</v>
      </c>
      <c r="E10" s="54"/>
      <c r="F10" s="92">
        <f>B10*D10</f>
        <v>1.5309428987559126</v>
      </c>
      <c r="G10" s="92"/>
      <c r="H10" s="197">
        <f>H9</f>
        <v>1552.1048553114103</v>
      </c>
      <c r="I10" s="92"/>
      <c r="J10" s="179">
        <f>J9</f>
        <v>0.11994233106141375</v>
      </c>
      <c r="K10" s="179"/>
      <c r="L10" s="92">
        <f>J10*F10</f>
        <v>0.18362485999870209</v>
      </c>
      <c r="M10" s="48"/>
      <c r="N10" s="48"/>
      <c r="O10" s="48"/>
      <c r="P10" s="48"/>
      <c r="R10" s="63"/>
    </row>
    <row r="11" spans="1:18" x14ac:dyDescent="0.6">
      <c r="A11" s="89" t="s">
        <v>752</v>
      </c>
      <c r="B11" s="85">
        <v>2.2881928313357242E-2</v>
      </c>
      <c r="C11" s="286" t="s">
        <v>239</v>
      </c>
      <c r="D11" s="54">
        <v>1.3727750819950504</v>
      </c>
      <c r="E11" s="54"/>
      <c r="F11" s="92">
        <f>B11*D11</f>
        <v>3.1411741016573853E-2</v>
      </c>
      <c r="G11" s="92"/>
      <c r="H11" s="197">
        <f>H10</f>
        <v>1552.1048553114103</v>
      </c>
      <c r="I11" s="92"/>
      <c r="J11" s="179">
        <f>J9</f>
        <v>0.11994233106141375</v>
      </c>
      <c r="K11" s="179"/>
      <c r="L11" s="92">
        <f>J11*F11</f>
        <v>3.7675974402252904E-3</v>
      </c>
      <c r="M11" s="48"/>
      <c r="N11" s="48"/>
      <c r="O11" s="48"/>
      <c r="P11" s="48"/>
      <c r="R11" s="63"/>
    </row>
    <row r="12" spans="1:18" x14ac:dyDescent="0.6">
      <c r="A12" s="15" t="s">
        <v>761</v>
      </c>
      <c r="B12" s="83"/>
      <c r="C12" s="83"/>
      <c r="D12" s="48"/>
      <c r="E12" s="48"/>
      <c r="F12" s="83"/>
      <c r="G12" s="83"/>
      <c r="H12" s="83"/>
      <c r="I12" s="83"/>
      <c r="J12" s="48"/>
      <c r="K12" s="48"/>
      <c r="L12" s="92">
        <f>SUM(L7:L11)</f>
        <v>1.1401449883817183</v>
      </c>
      <c r="M12" s="48"/>
      <c r="N12" s="181">
        <v>1</v>
      </c>
      <c r="O12" s="181"/>
      <c r="P12" s="413">
        <f>L12*N12</f>
        <v>1.1401449883817183</v>
      </c>
    </row>
    <row r="13" spans="1:18" ht="12.75" hidden="1" customHeight="1" x14ac:dyDescent="0.6">
      <c r="A13" s="15"/>
      <c r="B13" s="83"/>
      <c r="C13" s="83"/>
      <c r="D13" s="48"/>
      <c r="E13" s="48"/>
      <c r="F13" s="83"/>
      <c r="G13" s="83"/>
      <c r="H13" s="83"/>
      <c r="I13" s="83"/>
      <c r="J13" s="48"/>
      <c r="K13" s="48"/>
      <c r="L13" s="92"/>
      <c r="M13" s="48"/>
      <c r="N13" s="181"/>
      <c r="O13" s="181"/>
      <c r="P13" s="413"/>
    </row>
    <row r="14" spans="1:18" ht="12.75" hidden="1" customHeight="1" x14ac:dyDescent="0.6">
      <c r="A14" s="15"/>
      <c r="B14" s="83"/>
      <c r="C14" s="83"/>
      <c r="D14" s="48"/>
      <c r="E14" s="48"/>
      <c r="F14" s="83"/>
      <c r="G14" s="457" t="s">
        <v>451</v>
      </c>
      <c r="H14" s="460">
        <v>0</v>
      </c>
      <c r="I14" s="83"/>
      <c r="J14" s="48"/>
      <c r="K14" s="48"/>
      <c r="L14" s="92"/>
      <c r="M14" s="48"/>
      <c r="N14" s="181" t="s">
        <v>188</v>
      </c>
      <c r="O14" s="181"/>
      <c r="P14" s="414">
        <f>P12-'Table 3.41-Man Notice'!F33</f>
        <v>0</v>
      </c>
    </row>
    <row r="15" spans="1:18" ht="12.75" hidden="1" customHeight="1" x14ac:dyDescent="0.6">
      <c r="A15" s="15"/>
      <c r="B15" s="83"/>
      <c r="C15" s="83"/>
      <c r="D15" s="48"/>
      <c r="E15" s="48"/>
      <c r="F15" s="83"/>
      <c r="G15" s="457" t="s">
        <v>452</v>
      </c>
      <c r="H15" s="460">
        <v>0</v>
      </c>
      <c r="I15" s="83"/>
      <c r="J15" s="48"/>
      <c r="K15" s="48"/>
      <c r="L15" s="92"/>
      <c r="M15" s="48"/>
      <c r="N15" s="181"/>
      <c r="O15" s="181"/>
      <c r="P15" s="461"/>
    </row>
    <row r="16" spans="1:18" ht="12.75" hidden="1" customHeight="1" x14ac:dyDescent="0.6">
      <c r="A16" s="15"/>
      <c r="B16" s="83"/>
      <c r="C16" s="83"/>
      <c r="D16" s="48"/>
      <c r="E16" s="48"/>
      <c r="F16" s="83"/>
      <c r="G16" s="457"/>
      <c r="H16" s="573"/>
      <c r="I16" s="83"/>
      <c r="J16" s="48"/>
      <c r="K16" s="48"/>
      <c r="L16" s="92"/>
      <c r="M16" s="48"/>
      <c r="N16" s="181"/>
      <c r="O16" s="181"/>
      <c r="P16" s="461"/>
    </row>
    <row r="17" spans="1:6" x14ac:dyDescent="0.6">
      <c r="A17" s="141"/>
      <c r="B17" s="289"/>
      <c r="C17" s="289"/>
      <c r="D17" s="141"/>
      <c r="E17" s="141"/>
      <c r="F17" s="141"/>
    </row>
    <row r="18" spans="1:6" x14ac:dyDescent="0.6">
      <c r="A18" s="47" t="s">
        <v>235</v>
      </c>
      <c r="B18" s="45"/>
      <c r="C18" s="45"/>
    </row>
    <row r="19" spans="1:6" x14ac:dyDescent="0.6">
      <c r="A19" s="25" t="s">
        <v>788</v>
      </c>
      <c r="B19" s="11"/>
    </row>
    <row r="20" spans="1:6" x14ac:dyDescent="0.6">
      <c r="A20" s="145" t="s">
        <v>762</v>
      </c>
      <c r="B20" s="11"/>
    </row>
    <row r="21" spans="1:6" x14ac:dyDescent="0.6">
      <c r="A21" s="25" t="s">
        <v>792</v>
      </c>
      <c r="B21" s="11"/>
    </row>
    <row r="22" spans="1:6" x14ac:dyDescent="0.6">
      <c r="A22" s="145" t="s">
        <v>763</v>
      </c>
    </row>
    <row r="23" spans="1:6" x14ac:dyDescent="0.6">
      <c r="A23" s="25" t="s">
        <v>793</v>
      </c>
    </row>
    <row r="24" spans="1:6" x14ac:dyDescent="0.6">
      <c r="A24" s="407" t="s">
        <v>764</v>
      </c>
    </row>
    <row r="25" spans="1:6" x14ac:dyDescent="0.6">
      <c r="A25" s="25" t="s">
        <v>794</v>
      </c>
    </row>
    <row r="27" spans="1:6" x14ac:dyDescent="0.6">
      <c r="A27" s="38"/>
    </row>
  </sheetData>
  <phoneticPr fontId="0" type="noConversion"/>
  <printOptions horizontalCentered="1"/>
  <pageMargins left="0.75" right="0.75" top="1" bottom="1" header="0.5" footer="0.5"/>
  <pageSetup scale="81" orientation="landscape"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4"/>
  <dimension ref="A1:T89"/>
  <sheetViews>
    <sheetView zoomScale="70" zoomScaleNormal="70" workbookViewId="0"/>
  </sheetViews>
  <sheetFormatPr defaultColWidth="9.08984375" defaultRowHeight="13" x14ac:dyDescent="0.6"/>
  <cols>
    <col min="1" max="1" width="18.08984375" style="11" customWidth="1"/>
    <col min="2" max="2" width="14.86328125" style="11" customWidth="1"/>
    <col min="3" max="3" width="21.453125" style="11" customWidth="1"/>
    <col min="4" max="4" width="11.6796875" style="11" customWidth="1"/>
    <col min="5" max="5" width="3.453125" style="11" customWidth="1"/>
    <col min="6" max="6" width="11.6796875" style="11" customWidth="1"/>
    <col min="7" max="7" width="3.453125" style="11" customWidth="1"/>
    <col min="8" max="8" width="11.6796875" style="11" customWidth="1"/>
    <col min="9" max="9" width="3.453125" style="24" customWidth="1"/>
    <col min="10" max="10" width="11.6796875" style="11" customWidth="1"/>
    <col min="11" max="11" width="3.453125" style="24" customWidth="1"/>
    <col min="12" max="12" width="11.6796875" style="24" customWidth="1"/>
    <col min="13" max="13" width="3.453125" style="24" customWidth="1"/>
    <col min="14" max="14" width="11.6796875" style="11" customWidth="1"/>
    <col min="15" max="15" width="9.08984375" style="11"/>
    <col min="16" max="16" width="9.31640625" style="11" bestFit="1" customWidth="1"/>
    <col min="17" max="16384" width="9.08984375" style="11"/>
  </cols>
  <sheetData>
    <row r="1" spans="1:20" s="24" customFormat="1" ht="15.5" x14ac:dyDescent="0.7">
      <c r="A1" s="158" t="s">
        <v>556</v>
      </c>
    </row>
    <row r="2" spans="1:20" ht="15.75" customHeight="1" x14ac:dyDescent="0.7">
      <c r="A2" s="158" t="s">
        <v>787</v>
      </c>
      <c r="B2" s="36"/>
      <c r="C2" s="36"/>
      <c r="D2" s="36"/>
      <c r="E2" s="36"/>
      <c r="F2" s="36"/>
      <c r="G2" s="36"/>
      <c r="H2" s="36"/>
      <c r="I2" s="36"/>
      <c r="J2" s="36"/>
      <c r="K2" s="36"/>
      <c r="L2" s="36"/>
      <c r="M2" s="36"/>
      <c r="N2" s="36"/>
    </row>
    <row r="3" spans="1:20" ht="5.15" customHeight="1" x14ac:dyDescent="0.7">
      <c r="A3" s="443"/>
      <c r="B3" s="36"/>
      <c r="C3" s="36"/>
      <c r="D3" s="36"/>
      <c r="E3" s="36"/>
      <c r="F3" s="36"/>
      <c r="G3" s="36"/>
      <c r="H3" s="36"/>
      <c r="I3" s="36"/>
      <c r="J3" s="36"/>
      <c r="K3" s="36"/>
      <c r="L3" s="36"/>
      <c r="M3" s="36"/>
      <c r="N3" s="36"/>
    </row>
    <row r="4" spans="1:20" ht="12.75" customHeight="1" x14ac:dyDescent="0.6">
      <c r="A4" s="429" t="s">
        <v>355</v>
      </c>
      <c r="B4" s="331"/>
      <c r="C4" s="331"/>
      <c r="D4" s="23"/>
      <c r="E4" s="23"/>
      <c r="F4" s="23"/>
      <c r="G4" s="23"/>
      <c r="H4" s="23"/>
      <c r="I4" s="23"/>
      <c r="J4" s="23"/>
      <c r="K4" s="23"/>
      <c r="L4" s="23"/>
      <c r="M4" s="23"/>
      <c r="N4" s="83"/>
      <c r="O4" s="4"/>
    </row>
    <row r="5" spans="1:20" ht="25.5" customHeight="1" x14ac:dyDescent="0.6">
      <c r="A5" s="431" t="s">
        <v>356</v>
      </c>
      <c r="B5" s="431" t="s">
        <v>357</v>
      </c>
      <c r="C5" s="432" t="s">
        <v>364</v>
      </c>
      <c r="D5" s="160" t="s">
        <v>370</v>
      </c>
      <c r="E5" s="23"/>
      <c r="F5" s="189" t="s">
        <v>249</v>
      </c>
      <c r="G5" s="160"/>
      <c r="H5" s="183" t="s">
        <v>337</v>
      </c>
      <c r="I5" s="159"/>
      <c r="J5" s="160" t="s">
        <v>246</v>
      </c>
      <c r="K5" s="159"/>
      <c r="L5" s="160" t="s">
        <v>218</v>
      </c>
      <c r="M5" s="159"/>
      <c r="N5" s="160" t="s">
        <v>338</v>
      </c>
      <c r="O5" s="4"/>
    </row>
    <row r="6" spans="1:20" ht="12.75" customHeight="1" x14ac:dyDescent="0.6">
      <c r="A6" s="327" t="s">
        <v>358</v>
      </c>
      <c r="B6" s="18" t="s">
        <v>184</v>
      </c>
      <c r="C6" s="18" t="s">
        <v>359</v>
      </c>
      <c r="D6" s="44">
        <v>14778.89</v>
      </c>
      <c r="E6" s="23"/>
      <c r="F6" s="46">
        <v>1241.9774187302912</v>
      </c>
      <c r="G6" s="20"/>
      <c r="H6" s="85">
        <f t="shared" ref="H6:H13" si="0">IF(D6&lt;&gt;0,F6/D6,0)</f>
        <v>8.4037259816555326E-2</v>
      </c>
      <c r="I6" s="23"/>
      <c r="J6" s="54">
        <v>1.3836862910054186</v>
      </c>
      <c r="K6" s="23"/>
      <c r="L6" s="46">
        <f t="shared" ref="L6:L12" si="1">F6*J6</f>
        <v>1718.5071280354005</v>
      </c>
      <c r="M6" s="23"/>
      <c r="N6" s="83">
        <f t="shared" ref="N6:N13" si="2">IF(D6&lt;&gt;0,L6/D6,0)</f>
        <v>0.11628120434182815</v>
      </c>
      <c r="O6" s="4"/>
    </row>
    <row r="7" spans="1:20" ht="12.75" customHeight="1" x14ac:dyDescent="0.6">
      <c r="A7" s="18"/>
      <c r="B7" s="327" t="s">
        <v>319</v>
      </c>
      <c r="C7" s="327" t="s">
        <v>377</v>
      </c>
      <c r="D7" s="44">
        <v>14778.89</v>
      </c>
      <c r="E7" s="23"/>
      <c r="F7" s="46">
        <v>261.04974891582197</v>
      </c>
      <c r="G7" s="20"/>
      <c r="H7" s="85">
        <f t="shared" si="0"/>
        <v>1.7663691178148155E-2</v>
      </c>
      <c r="I7" s="23"/>
      <c r="J7" s="54">
        <v>1.7516721267338493</v>
      </c>
      <c r="K7" s="23"/>
      <c r="L7" s="46">
        <f t="shared" si="1"/>
        <v>457.27356886671521</v>
      </c>
      <c r="M7" s="23"/>
      <c r="N7" s="83">
        <f t="shared" si="2"/>
        <v>3.094099549199671E-2</v>
      </c>
      <c r="O7" s="4"/>
    </row>
    <row r="8" spans="1:20" ht="12.75" customHeight="1" x14ac:dyDescent="0.6">
      <c r="A8" s="18"/>
      <c r="B8" s="327"/>
      <c r="C8" s="327" t="s">
        <v>378</v>
      </c>
      <c r="D8" s="44">
        <v>14778.89</v>
      </c>
      <c r="E8" s="23"/>
      <c r="F8" s="46">
        <v>881.04290259089919</v>
      </c>
      <c r="G8" s="20"/>
      <c r="H8" s="85">
        <f t="shared" si="0"/>
        <v>5.9614957726250022E-2</v>
      </c>
      <c r="I8" s="23"/>
      <c r="J8" s="54">
        <v>1.7516721267338493</v>
      </c>
      <c r="K8" s="23"/>
      <c r="L8" s="46">
        <f t="shared" si="1"/>
        <v>1543.2982949251641</v>
      </c>
      <c r="M8" s="23"/>
      <c r="N8" s="83">
        <f t="shared" si="2"/>
        <v>0.10442585978548891</v>
      </c>
      <c r="O8" s="4"/>
    </row>
    <row r="9" spans="1:20" ht="12.75" customHeight="1" x14ac:dyDescent="0.6">
      <c r="A9" s="18"/>
      <c r="B9" s="327"/>
      <c r="C9" s="327" t="s">
        <v>379</v>
      </c>
      <c r="D9" s="44">
        <v>63.883746950255052</v>
      </c>
      <c r="E9" s="23"/>
      <c r="F9" s="46">
        <v>28.356121449716259</v>
      </c>
      <c r="G9" s="20"/>
      <c r="H9" s="85">
        <f t="shared" si="0"/>
        <v>0.44387066825927701</v>
      </c>
      <c r="I9" s="23"/>
      <c r="J9" s="54">
        <v>1.7516721267338493</v>
      </c>
      <c r="K9" s="23"/>
      <c r="L9" s="46">
        <f t="shared" si="1"/>
        <v>49.6706275657478</v>
      </c>
      <c r="M9" s="23"/>
      <c r="N9" s="83">
        <f t="shared" si="2"/>
        <v>0.77751587746450268</v>
      </c>
      <c r="O9" s="4"/>
      <c r="Q9" s="140"/>
      <c r="R9" s="140"/>
      <c r="S9" s="140"/>
      <c r="T9" s="140"/>
    </row>
    <row r="10" spans="1:20" ht="12.75" customHeight="1" x14ac:dyDescent="0.6">
      <c r="A10" s="18"/>
      <c r="B10" s="364" t="s">
        <v>371</v>
      </c>
      <c r="C10" s="364" t="s">
        <v>372</v>
      </c>
      <c r="D10" s="44">
        <v>14778.89</v>
      </c>
      <c r="E10" s="23"/>
      <c r="F10" s="46">
        <v>43.813794746184442</v>
      </c>
      <c r="G10" s="20"/>
      <c r="H10" s="85">
        <f t="shared" si="0"/>
        <v>2.9646201268284994E-3</v>
      </c>
      <c r="I10" s="23"/>
      <c r="J10" s="54">
        <v>1.7516721267338493</v>
      </c>
      <c r="K10" s="23"/>
      <c r="L10" s="46">
        <f t="shared" si="1"/>
        <v>76.747403023329255</v>
      </c>
      <c r="M10" s="23"/>
      <c r="N10" s="83">
        <f t="shared" si="2"/>
        <v>5.1930424425196521E-3</v>
      </c>
      <c r="O10" s="4"/>
      <c r="Q10" s="140"/>
      <c r="R10" s="140"/>
      <c r="S10" s="140"/>
      <c r="T10" s="140"/>
    </row>
    <row r="11" spans="1:20" ht="12.75" customHeight="1" x14ac:dyDescent="0.6">
      <c r="A11" s="18"/>
      <c r="B11" s="18" t="s">
        <v>138</v>
      </c>
      <c r="C11" s="327" t="s">
        <v>380</v>
      </c>
      <c r="D11" s="44">
        <v>14778.89</v>
      </c>
      <c r="E11" s="23"/>
      <c r="F11" s="46">
        <v>9560.0463722644163</v>
      </c>
      <c r="G11" s="20"/>
      <c r="H11" s="85">
        <f t="shared" si="0"/>
        <v>0.6468717455955364</v>
      </c>
      <c r="I11" s="23"/>
      <c r="J11" s="54">
        <v>1.3727750819950504</v>
      </c>
      <c r="K11" s="23"/>
      <c r="L11" s="46">
        <f t="shared" si="1"/>
        <v>13123.793442561768</v>
      </c>
      <c r="M11" s="23"/>
      <c r="N11" s="83">
        <f t="shared" si="2"/>
        <v>0.88800941360019381</v>
      </c>
      <c r="O11" s="4"/>
      <c r="Q11" s="140"/>
      <c r="R11" s="140"/>
      <c r="S11" s="140"/>
      <c r="T11" s="140"/>
    </row>
    <row r="12" spans="1:20" ht="12.75" customHeight="1" x14ac:dyDescent="0.6">
      <c r="A12" s="283"/>
      <c r="B12" s="283" t="s">
        <v>138</v>
      </c>
      <c r="C12" s="430" t="s">
        <v>182</v>
      </c>
      <c r="D12" s="434">
        <v>1055.635</v>
      </c>
      <c r="E12" s="435"/>
      <c r="F12" s="438">
        <v>90.177631233655575</v>
      </c>
      <c r="G12" s="144"/>
      <c r="H12" s="436">
        <f t="shared" si="0"/>
        <v>8.5425010760021763E-2</v>
      </c>
      <c r="I12" s="435"/>
      <c r="J12" s="437">
        <v>1.5107753644979616</v>
      </c>
      <c r="K12" s="435"/>
      <c r="L12" s="438">
        <f t="shared" si="1"/>
        <v>136.23814369658876</v>
      </c>
      <c r="M12" s="435"/>
      <c r="N12" s="172">
        <f t="shared" si="2"/>
        <v>0.12905800176821416</v>
      </c>
      <c r="O12" s="4"/>
    </row>
    <row r="13" spans="1:20" ht="12.75" customHeight="1" x14ac:dyDescent="0.6">
      <c r="A13" s="18"/>
      <c r="B13" s="18"/>
      <c r="C13" s="433" t="s">
        <v>102</v>
      </c>
      <c r="D13" s="44">
        <v>14778.89</v>
      </c>
      <c r="E13" s="23"/>
      <c r="F13" s="46">
        <f>SUM(F6:F12)</f>
        <v>12106.463989930984</v>
      </c>
      <c r="G13" s="23"/>
      <c r="H13" s="85">
        <f t="shared" si="0"/>
        <v>0.81917275180551341</v>
      </c>
      <c r="I13" s="23"/>
      <c r="J13" s="23"/>
      <c r="K13" s="23"/>
      <c r="L13" s="46">
        <f>SUM(L6:L12)</f>
        <v>17105.528608674715</v>
      </c>
      <c r="M13" s="23"/>
      <c r="N13" s="83">
        <f t="shared" si="2"/>
        <v>1.1574298616929091</v>
      </c>
      <c r="O13" s="4"/>
    </row>
    <row r="14" spans="1:20" ht="12.75" customHeight="1" x14ac:dyDescent="0.6">
      <c r="A14" s="18"/>
      <c r="B14" s="18"/>
      <c r="C14" s="18"/>
      <c r="D14" s="23"/>
      <c r="E14" s="23"/>
      <c r="F14" s="23"/>
      <c r="G14" s="23"/>
      <c r="H14" s="23"/>
      <c r="I14" s="23"/>
      <c r="J14" s="23"/>
      <c r="K14" s="23"/>
      <c r="L14" s="23"/>
      <c r="M14" s="23"/>
      <c r="N14" s="83"/>
      <c r="O14" s="4"/>
    </row>
    <row r="15" spans="1:20" ht="12.75" customHeight="1" x14ac:dyDescent="0.6">
      <c r="A15" s="18" t="s">
        <v>360</v>
      </c>
      <c r="B15" s="18" t="s">
        <v>138</v>
      </c>
      <c r="C15" s="327" t="s">
        <v>361</v>
      </c>
      <c r="D15" s="44">
        <v>1389.127</v>
      </c>
      <c r="E15" s="23"/>
      <c r="F15" s="46">
        <v>718.86960587511248</v>
      </c>
      <c r="G15" s="20"/>
      <c r="H15" s="85">
        <f t="shared" ref="H15:H22" si="3">IF(D15&lt;&gt;0,F15/D15,0)</f>
        <v>0.51749739647642912</v>
      </c>
      <c r="I15" s="23"/>
      <c r="J15" s="54">
        <v>1.3727750819950504</v>
      </c>
      <c r="K15" s="23"/>
      <c r="L15" s="46">
        <f t="shared" ref="L15:L21" si="4">F15*J15</f>
        <v>986.84628214895713</v>
      </c>
      <c r="M15" s="23"/>
      <c r="N15" s="83">
        <f t="shared" ref="N15:N22" si="5">IF(D15&lt;&gt;0,L15/D15,0)</f>
        <v>0.71040753088015507</v>
      </c>
      <c r="O15" s="4"/>
    </row>
    <row r="16" spans="1:20" ht="12.75" customHeight="1" x14ac:dyDescent="0.6">
      <c r="A16" s="18"/>
      <c r="B16" s="327" t="s">
        <v>319</v>
      </c>
      <c r="C16" s="327" t="s">
        <v>377</v>
      </c>
      <c r="D16" s="44">
        <v>1389.127</v>
      </c>
      <c r="E16" s="23"/>
      <c r="F16" s="46">
        <v>24.537110335227407</v>
      </c>
      <c r="G16" s="20"/>
      <c r="H16" s="85">
        <f t="shared" si="3"/>
        <v>1.7663691178148151E-2</v>
      </c>
      <c r="I16" s="23"/>
      <c r="J16" s="54">
        <v>1.7516721267338493</v>
      </c>
      <c r="K16" s="23"/>
      <c r="L16" s="46">
        <f t="shared" si="4"/>
        <v>42.980972244810907</v>
      </c>
      <c r="M16" s="23"/>
      <c r="N16" s="83">
        <f t="shared" si="5"/>
        <v>3.0940995491996706E-2</v>
      </c>
      <c r="O16" s="4"/>
    </row>
    <row r="17" spans="1:15" ht="12.75" customHeight="1" x14ac:dyDescent="0.6">
      <c r="A17" s="18"/>
      <c r="B17" s="327"/>
      <c r="C17" s="327" t="s">
        <v>378</v>
      </c>
      <c r="D17" s="44">
        <v>1389.127</v>
      </c>
      <c r="E17" s="23"/>
      <c r="F17" s="46">
        <v>82.812747381392498</v>
      </c>
      <c r="G17" s="20"/>
      <c r="H17" s="85">
        <f t="shared" si="3"/>
        <v>5.9614957726250015E-2</v>
      </c>
      <c r="I17" s="23"/>
      <c r="J17" s="54">
        <v>1.7516721267338493</v>
      </c>
      <c r="K17" s="23"/>
      <c r="L17" s="46">
        <f t="shared" si="4"/>
        <v>145.06078132623682</v>
      </c>
      <c r="M17" s="23"/>
      <c r="N17" s="83">
        <f t="shared" si="5"/>
        <v>0.10442585978548889</v>
      </c>
      <c r="O17" s="4"/>
    </row>
    <row r="18" spans="1:15" ht="12.75" customHeight="1" x14ac:dyDescent="0.6">
      <c r="A18" s="18"/>
      <c r="B18" s="327"/>
      <c r="C18" s="327" t="s">
        <v>379</v>
      </c>
      <c r="D18" s="44">
        <v>6.0046889685062235</v>
      </c>
      <c r="E18" s="23"/>
      <c r="F18" s="46">
        <v>2.6653053051399658</v>
      </c>
      <c r="G18" s="20"/>
      <c r="H18" s="85">
        <f t="shared" si="3"/>
        <v>0.44387066825927696</v>
      </c>
      <c r="I18" s="23"/>
      <c r="J18" s="54">
        <v>1.7516721267338493</v>
      </c>
      <c r="K18" s="23"/>
      <c r="L18" s="46">
        <f t="shared" si="4"/>
        <v>4.6687410122495354</v>
      </c>
      <c r="M18" s="23"/>
      <c r="N18" s="83">
        <f t="shared" si="5"/>
        <v>0.77751587746450257</v>
      </c>
      <c r="O18" s="4"/>
    </row>
    <row r="19" spans="1:15" ht="12.75" customHeight="1" x14ac:dyDescent="0.6">
      <c r="A19" s="18"/>
      <c r="B19" s="364" t="s">
        <v>371</v>
      </c>
      <c r="C19" s="364" t="s">
        <v>372</v>
      </c>
      <c r="D19" s="44">
        <v>1389.127</v>
      </c>
      <c r="E19" s="23"/>
      <c r="F19" s="46">
        <v>4.1182338629208939</v>
      </c>
      <c r="G19" s="20"/>
      <c r="H19" s="85">
        <f t="shared" si="3"/>
        <v>2.9646201268285002E-3</v>
      </c>
      <c r="I19" s="23"/>
      <c r="J19" s="54">
        <v>1.7516721267338493</v>
      </c>
      <c r="K19" s="23"/>
      <c r="L19" s="46">
        <f t="shared" si="4"/>
        <v>7.2137954690499981</v>
      </c>
      <c r="M19" s="23"/>
      <c r="N19" s="83">
        <f t="shared" si="5"/>
        <v>5.193042442519653E-3</v>
      </c>
      <c r="O19" s="4"/>
    </row>
    <row r="20" spans="1:15" ht="12.75" customHeight="1" x14ac:dyDescent="0.6">
      <c r="A20" s="18"/>
      <c r="B20" s="18" t="s">
        <v>138</v>
      </c>
      <c r="C20" s="327" t="s">
        <v>380</v>
      </c>
      <c r="D20" s="44">
        <v>1389.127</v>
      </c>
      <c r="E20" s="23"/>
      <c r="F20" s="46">
        <v>898.58700734389072</v>
      </c>
      <c r="G20" s="20"/>
      <c r="H20" s="85">
        <f t="shared" si="3"/>
        <v>0.6468717455955364</v>
      </c>
      <c r="I20" s="23"/>
      <c r="J20" s="54">
        <v>1.3727750819950504</v>
      </c>
      <c r="K20" s="23"/>
      <c r="L20" s="46">
        <f t="shared" si="4"/>
        <v>1233.5578526861966</v>
      </c>
      <c r="M20" s="23"/>
      <c r="N20" s="83">
        <f t="shared" si="5"/>
        <v>0.88800941360019392</v>
      </c>
      <c r="O20" s="4"/>
    </row>
    <row r="21" spans="1:15" ht="12.75" customHeight="1" x14ac:dyDescent="0.6">
      <c r="A21" s="283"/>
      <c r="B21" s="283" t="s">
        <v>138</v>
      </c>
      <c r="C21" s="430" t="s">
        <v>182</v>
      </c>
      <c r="D21" s="434">
        <v>99.223357142857139</v>
      </c>
      <c r="E21" s="435"/>
      <c r="F21" s="438">
        <v>8.476156351574053</v>
      </c>
      <c r="G21" s="144"/>
      <c r="H21" s="436">
        <f t="shared" si="3"/>
        <v>8.5425010760021763E-2</v>
      </c>
      <c r="I21" s="435"/>
      <c r="J21" s="437">
        <v>1.5107753644979616</v>
      </c>
      <c r="K21" s="435"/>
      <c r="L21" s="438">
        <f t="shared" si="4"/>
        <v>12.805568201591003</v>
      </c>
      <c r="M21" s="435"/>
      <c r="N21" s="172">
        <f t="shared" si="5"/>
        <v>0.12905800176821416</v>
      </c>
      <c r="O21" s="4"/>
    </row>
    <row r="22" spans="1:15" ht="12.75" customHeight="1" x14ac:dyDescent="0.6">
      <c r="A22" s="18"/>
      <c r="B22" s="18"/>
      <c r="C22" s="18"/>
      <c r="D22" s="44">
        <v>1389.127</v>
      </c>
      <c r="E22" s="23"/>
      <c r="F22" s="46">
        <f>SUM(F15:F21)</f>
        <v>1740.0661664552581</v>
      </c>
      <c r="G22" s="23"/>
      <c r="H22" s="85">
        <f t="shared" si="3"/>
        <v>1.2526328884653875</v>
      </c>
      <c r="I22" s="23"/>
      <c r="J22" s="23"/>
      <c r="K22" s="23"/>
      <c r="L22" s="46">
        <f>SUM(L15:L21)</f>
        <v>2433.1339930890917</v>
      </c>
      <c r="M22" s="23"/>
      <c r="N22" s="83">
        <f t="shared" si="5"/>
        <v>1.7515561882312358</v>
      </c>
      <c r="O22" s="4"/>
    </row>
    <row r="23" spans="1:15" ht="12.75" customHeight="1" x14ac:dyDescent="0.6">
      <c r="A23" s="18"/>
      <c r="B23" s="18"/>
      <c r="C23" s="18"/>
      <c r="D23" s="23"/>
      <c r="E23" s="23"/>
      <c r="F23" s="23"/>
      <c r="G23" s="23"/>
      <c r="H23" s="23"/>
      <c r="I23" s="23"/>
      <c r="J23" s="23"/>
      <c r="K23" s="23"/>
      <c r="L23" s="23"/>
      <c r="M23" s="23"/>
      <c r="N23" s="83"/>
      <c r="O23" s="4"/>
    </row>
    <row r="24" spans="1:15" ht="12.75" customHeight="1" x14ac:dyDescent="0.6">
      <c r="A24" s="18" t="s">
        <v>362</v>
      </c>
      <c r="B24" s="327" t="s">
        <v>319</v>
      </c>
      <c r="C24" s="327" t="s">
        <v>377</v>
      </c>
      <c r="D24" s="44">
        <v>0</v>
      </c>
      <c r="E24" s="23"/>
      <c r="F24" s="46">
        <v>0</v>
      </c>
      <c r="G24" s="20"/>
      <c r="H24" s="85">
        <f t="shared" ref="H24:H30" si="6">IF(D24&lt;&gt;0,F24/D24,0)</f>
        <v>0</v>
      </c>
      <c r="I24" s="23"/>
      <c r="J24" s="54">
        <v>1.7516721267338493</v>
      </c>
      <c r="K24" s="23"/>
      <c r="L24" s="46">
        <f t="shared" ref="L24:L29" si="7">F24*J24</f>
        <v>0</v>
      </c>
      <c r="M24" s="23"/>
      <c r="N24" s="83">
        <f t="shared" ref="N24:N30" si="8">IF(D24&lt;&gt;0,L24/D24,0)</f>
        <v>0</v>
      </c>
      <c r="O24" s="4"/>
    </row>
    <row r="25" spans="1:15" ht="12.75" customHeight="1" x14ac:dyDescent="0.6">
      <c r="A25" s="18"/>
      <c r="B25" s="327"/>
      <c r="C25" s="327" t="s">
        <v>378</v>
      </c>
      <c r="D25" s="44">
        <v>19782.945</v>
      </c>
      <c r="E25" s="23"/>
      <c r="F25" s="46">
        <v>1179.3594298757291</v>
      </c>
      <c r="G25" s="20"/>
      <c r="H25" s="85">
        <f t="shared" si="6"/>
        <v>5.9614957726250015E-2</v>
      </c>
      <c r="I25" s="23"/>
      <c r="J25" s="54">
        <v>1.7516721267338493</v>
      </c>
      <c r="K25" s="23"/>
      <c r="L25" s="46">
        <f t="shared" si="7"/>
        <v>2065.8510407140384</v>
      </c>
      <c r="M25" s="23"/>
      <c r="N25" s="83">
        <f t="shared" si="8"/>
        <v>0.10442585978548889</v>
      </c>
      <c r="O25" s="4"/>
    </row>
    <row r="26" spans="1:15" ht="12.75" customHeight="1" x14ac:dyDescent="0.6">
      <c r="A26" s="18"/>
      <c r="B26" s="327"/>
      <c r="C26" s="327" t="s">
        <v>379</v>
      </c>
      <c r="D26" s="44">
        <v>0</v>
      </c>
      <c r="E26" s="23"/>
      <c r="F26" s="46">
        <v>0</v>
      </c>
      <c r="G26" s="20"/>
      <c r="H26" s="85">
        <f t="shared" si="6"/>
        <v>0</v>
      </c>
      <c r="I26" s="23"/>
      <c r="J26" s="54">
        <v>1.7516721267338493</v>
      </c>
      <c r="K26" s="23"/>
      <c r="L26" s="46">
        <f t="shared" si="7"/>
        <v>0</v>
      </c>
      <c r="M26" s="23"/>
      <c r="N26" s="83">
        <f t="shared" si="8"/>
        <v>0</v>
      </c>
      <c r="O26" s="4"/>
    </row>
    <row r="27" spans="1:15" ht="12.75" customHeight="1" x14ac:dyDescent="0.6">
      <c r="A27" s="18"/>
      <c r="B27" s="364" t="s">
        <v>371</v>
      </c>
      <c r="C27" s="364" t="s">
        <v>372</v>
      </c>
      <c r="D27" s="44">
        <v>19782.945</v>
      </c>
      <c r="E27" s="23"/>
      <c r="F27" s="46">
        <v>58.648916914941232</v>
      </c>
      <c r="G27" s="20"/>
      <c r="H27" s="85">
        <f t="shared" si="6"/>
        <v>2.9646201268284998E-3</v>
      </c>
      <c r="I27" s="23"/>
      <c r="J27" s="54">
        <v>1.7516721267338493</v>
      </c>
      <c r="K27" s="23"/>
      <c r="L27" s="46">
        <f t="shared" si="7"/>
        <v>102.73367302303194</v>
      </c>
      <c r="M27" s="23"/>
      <c r="N27" s="83">
        <f t="shared" si="8"/>
        <v>5.1930424425196521E-3</v>
      </c>
      <c r="O27" s="4"/>
    </row>
    <row r="28" spans="1:15" ht="12.75" customHeight="1" x14ac:dyDescent="0.6">
      <c r="A28" s="18"/>
      <c r="B28" s="18" t="s">
        <v>138</v>
      </c>
      <c r="C28" s="327" t="s">
        <v>380</v>
      </c>
      <c r="D28" s="44">
        <v>19782.945</v>
      </c>
      <c r="E28" s="23"/>
      <c r="F28" s="46">
        <v>12797.02816517049</v>
      </c>
      <c r="G28" s="20"/>
      <c r="H28" s="85">
        <f t="shared" si="6"/>
        <v>0.64687174559553651</v>
      </c>
      <c r="I28" s="23"/>
      <c r="J28" s="54">
        <v>1.3727750819950504</v>
      </c>
      <c r="K28" s="23"/>
      <c r="L28" s="46">
        <f t="shared" si="7"/>
        <v>17567.441388734889</v>
      </c>
      <c r="M28" s="23"/>
      <c r="N28" s="83">
        <f t="shared" si="8"/>
        <v>0.88800941360019403</v>
      </c>
      <c r="O28" s="4"/>
    </row>
    <row r="29" spans="1:15" ht="12.75" customHeight="1" x14ac:dyDescent="0.6">
      <c r="A29" s="283"/>
      <c r="B29" s="283" t="s">
        <v>138</v>
      </c>
      <c r="C29" s="430" t="s">
        <v>182</v>
      </c>
      <c r="D29" s="434">
        <v>1413.0675000000001</v>
      </c>
      <c r="E29" s="435"/>
      <c r="F29" s="438">
        <v>120.71130639213703</v>
      </c>
      <c r="G29" s="144"/>
      <c r="H29" s="436">
        <f t="shared" si="6"/>
        <v>8.5425010760021736E-2</v>
      </c>
      <c r="I29" s="435"/>
      <c r="J29" s="437">
        <v>1.5107753644979616</v>
      </c>
      <c r="K29" s="435"/>
      <c r="L29" s="438">
        <f t="shared" si="7"/>
        <v>182.36766791360594</v>
      </c>
      <c r="M29" s="435"/>
      <c r="N29" s="172">
        <f t="shared" si="8"/>
        <v>0.12905800176821414</v>
      </c>
      <c r="O29" s="4"/>
    </row>
    <row r="30" spans="1:15" ht="12.75" customHeight="1" x14ac:dyDescent="0.6">
      <c r="A30" s="18"/>
      <c r="B30" s="18"/>
      <c r="C30" s="18"/>
      <c r="D30" s="44">
        <v>19782.945</v>
      </c>
      <c r="E30" s="23"/>
      <c r="F30" s="46">
        <f>SUM(F24:F29)</f>
        <v>14155.747818353297</v>
      </c>
      <c r="G30" s="23"/>
      <c r="H30" s="85">
        <f t="shared" si="6"/>
        <v>0.7155531099314737</v>
      </c>
      <c r="I30" s="23"/>
      <c r="J30" s="23"/>
      <c r="K30" s="23"/>
      <c r="L30" s="46">
        <f>SUM(L23:L29)</f>
        <v>19918.393770385563</v>
      </c>
      <c r="M30" s="23"/>
      <c r="N30" s="83">
        <f t="shared" si="8"/>
        <v>1.0068467445259319</v>
      </c>
      <c r="O30" s="4"/>
    </row>
    <row r="31" spans="1:15" ht="12.75" customHeight="1" x14ac:dyDescent="0.6">
      <c r="A31" s="18"/>
      <c r="B31" s="18"/>
      <c r="C31" s="18"/>
      <c r="D31" s="23"/>
      <c r="E31" s="23"/>
      <c r="F31" s="23"/>
      <c r="G31" s="23"/>
      <c r="H31" s="23"/>
      <c r="I31" s="23"/>
      <c r="J31" s="23"/>
      <c r="K31" s="23"/>
      <c r="L31" s="23"/>
      <c r="M31" s="23"/>
      <c r="N31" s="83"/>
      <c r="O31" s="4"/>
    </row>
    <row r="32" spans="1:15" ht="12.75" customHeight="1" x14ac:dyDescent="0.6">
      <c r="A32" s="18" t="s">
        <v>363</v>
      </c>
      <c r="B32" s="327" t="s">
        <v>319</v>
      </c>
      <c r="C32" s="327" t="s">
        <v>377</v>
      </c>
      <c r="D32" s="44">
        <v>0</v>
      </c>
      <c r="E32" s="23"/>
      <c r="F32" s="46">
        <v>0</v>
      </c>
      <c r="G32" s="20"/>
      <c r="H32" s="85">
        <f t="shared" ref="H32:H38" si="9">IF(D32&lt;&gt;0,F32/D32,0)</f>
        <v>0</v>
      </c>
      <c r="I32" s="23"/>
      <c r="J32" s="54">
        <v>1.7516721267338493</v>
      </c>
      <c r="K32" s="23"/>
      <c r="L32" s="46">
        <f t="shared" ref="L32:L37" si="10">F32*J32</f>
        <v>0</v>
      </c>
      <c r="M32" s="23"/>
      <c r="N32" s="83">
        <f t="shared" ref="N32:N38" si="11">IF(D32&lt;&gt;0,L32/D32,0)</f>
        <v>0</v>
      </c>
      <c r="O32" s="4"/>
    </row>
    <row r="33" spans="1:15" ht="12.75" customHeight="1" x14ac:dyDescent="0.6">
      <c r="A33" s="18"/>
      <c r="B33" s="327"/>
      <c r="C33" s="327" t="s">
        <v>378</v>
      </c>
      <c r="D33" s="44">
        <v>0</v>
      </c>
      <c r="E33" s="23"/>
      <c r="F33" s="46">
        <v>0</v>
      </c>
      <c r="G33" s="20"/>
      <c r="H33" s="85">
        <f t="shared" si="9"/>
        <v>0</v>
      </c>
      <c r="I33" s="23"/>
      <c r="J33" s="54">
        <v>1.7516721267338493</v>
      </c>
      <c r="K33" s="23"/>
      <c r="L33" s="46">
        <f t="shared" si="10"/>
        <v>0</v>
      </c>
      <c r="M33" s="23"/>
      <c r="N33" s="83">
        <f t="shared" si="11"/>
        <v>0</v>
      </c>
      <c r="O33" s="4"/>
    </row>
    <row r="34" spans="1:15" ht="12.75" customHeight="1" x14ac:dyDescent="0.6">
      <c r="A34" s="18"/>
      <c r="B34" s="327"/>
      <c r="C34" s="327" t="s">
        <v>379</v>
      </c>
      <c r="D34" s="44">
        <v>0</v>
      </c>
      <c r="E34" s="23"/>
      <c r="F34" s="46">
        <v>0</v>
      </c>
      <c r="G34" s="20"/>
      <c r="H34" s="85">
        <f t="shared" si="9"/>
        <v>0</v>
      </c>
      <c r="I34" s="23"/>
      <c r="J34" s="54">
        <v>1.7516721267338493</v>
      </c>
      <c r="K34" s="23"/>
      <c r="L34" s="46">
        <f t="shared" si="10"/>
        <v>0</v>
      </c>
      <c r="M34" s="23"/>
      <c r="N34" s="83">
        <f t="shared" si="11"/>
        <v>0</v>
      </c>
      <c r="O34" s="4"/>
    </row>
    <row r="35" spans="1:15" ht="12.75" customHeight="1" x14ac:dyDescent="0.6">
      <c r="A35" s="18"/>
      <c r="B35" s="364" t="s">
        <v>371</v>
      </c>
      <c r="C35" s="364" t="s">
        <v>372</v>
      </c>
      <c r="D35" s="44">
        <v>0</v>
      </c>
      <c r="E35" s="23"/>
      <c r="F35" s="46">
        <v>0</v>
      </c>
      <c r="G35" s="20"/>
      <c r="H35" s="85">
        <f t="shared" si="9"/>
        <v>0</v>
      </c>
      <c r="I35" s="23"/>
      <c r="J35" s="54">
        <v>1.7516721267338493</v>
      </c>
      <c r="K35" s="23"/>
      <c r="L35" s="46">
        <f t="shared" si="10"/>
        <v>0</v>
      </c>
      <c r="M35" s="23"/>
      <c r="N35" s="83">
        <f t="shared" si="11"/>
        <v>0</v>
      </c>
      <c r="O35" s="4"/>
    </row>
    <row r="36" spans="1:15" ht="12.75" customHeight="1" x14ac:dyDescent="0.6">
      <c r="A36" s="18"/>
      <c r="B36" s="18" t="s">
        <v>138</v>
      </c>
      <c r="C36" s="327" t="s">
        <v>380</v>
      </c>
      <c r="D36" s="44">
        <v>0</v>
      </c>
      <c r="E36" s="23"/>
      <c r="F36" s="46">
        <v>0</v>
      </c>
      <c r="G36" s="20"/>
      <c r="H36" s="85">
        <f t="shared" si="9"/>
        <v>0</v>
      </c>
      <c r="I36" s="23"/>
      <c r="J36" s="54">
        <v>1.3727750819950504</v>
      </c>
      <c r="K36" s="23"/>
      <c r="L36" s="46">
        <f t="shared" si="10"/>
        <v>0</v>
      </c>
      <c r="M36" s="23"/>
      <c r="N36" s="83">
        <f t="shared" si="11"/>
        <v>0</v>
      </c>
      <c r="O36" s="4"/>
    </row>
    <row r="37" spans="1:15" ht="12.75" customHeight="1" x14ac:dyDescent="0.6">
      <c r="A37" s="283"/>
      <c r="B37" s="283" t="s">
        <v>138</v>
      </c>
      <c r="C37" s="430" t="s">
        <v>182</v>
      </c>
      <c r="D37" s="434">
        <v>0</v>
      </c>
      <c r="E37" s="435"/>
      <c r="F37" s="438">
        <v>0</v>
      </c>
      <c r="G37" s="144"/>
      <c r="H37" s="436">
        <f t="shared" si="9"/>
        <v>0</v>
      </c>
      <c r="I37" s="435"/>
      <c r="J37" s="437">
        <v>1.5107753644979616</v>
      </c>
      <c r="K37" s="435"/>
      <c r="L37" s="438">
        <f t="shared" si="10"/>
        <v>0</v>
      </c>
      <c r="M37" s="435"/>
      <c r="N37" s="172">
        <f t="shared" si="11"/>
        <v>0</v>
      </c>
      <c r="O37" s="4"/>
    </row>
    <row r="38" spans="1:15" ht="12.75" customHeight="1" x14ac:dyDescent="0.6">
      <c r="A38" s="16"/>
      <c r="B38" s="23"/>
      <c r="C38" s="23"/>
      <c r="D38" s="44">
        <v>0</v>
      </c>
      <c r="E38" s="23"/>
      <c r="F38" s="46">
        <f>SUM(F32:F37)</f>
        <v>0</v>
      </c>
      <c r="G38" s="23"/>
      <c r="H38" s="85">
        <f t="shared" si="9"/>
        <v>0</v>
      </c>
      <c r="I38" s="23"/>
      <c r="J38" s="23"/>
      <c r="K38" s="23"/>
      <c r="L38" s="46">
        <f>SUM(L31:L37)</f>
        <v>0</v>
      </c>
      <c r="M38" s="23"/>
      <c r="N38" s="83">
        <f t="shared" si="11"/>
        <v>0</v>
      </c>
      <c r="O38" s="4"/>
    </row>
    <row r="39" spans="1:15" ht="5.15" customHeight="1" x14ac:dyDescent="0.6">
      <c r="A39" s="16"/>
      <c r="B39" s="23"/>
      <c r="C39" s="23"/>
      <c r="D39" s="44"/>
      <c r="E39" s="23"/>
      <c r="F39" s="42"/>
      <c r="G39" s="23"/>
      <c r="H39" s="85"/>
      <c r="I39" s="23"/>
      <c r="J39" s="23"/>
      <c r="K39" s="23"/>
      <c r="L39" s="23"/>
      <c r="M39" s="23"/>
      <c r="N39" s="83"/>
      <c r="O39" s="4"/>
    </row>
    <row r="40" spans="1:15" ht="12.75" customHeight="1" x14ac:dyDescent="0.6">
      <c r="A40" s="16"/>
      <c r="B40" s="23"/>
      <c r="C40" s="334" t="s">
        <v>365</v>
      </c>
      <c r="D40" s="44">
        <f>SUM(D13,D22,D30,D38)</f>
        <v>35950.962</v>
      </c>
      <c r="E40" s="23"/>
      <c r="F40" s="42">
        <f>SUM(F13,F22,F30,F38)</f>
        <v>28002.27797473954</v>
      </c>
      <c r="G40" s="23"/>
      <c r="H40" s="85">
        <f>IF(D40&lt;&gt;0,F40/D40,0)</f>
        <v>0.77890204926197915</v>
      </c>
      <c r="I40" s="23"/>
      <c r="J40" s="23"/>
      <c r="K40" s="23"/>
      <c r="L40" s="42">
        <f>SUM(L13,L22,L30,L38)</f>
        <v>39457.056372149367</v>
      </c>
      <c r="M40" s="23"/>
      <c r="N40" s="83">
        <f>IF(D40&lt;&gt;0,L40/D40,0)</f>
        <v>1.0975243547627285</v>
      </c>
      <c r="O40" s="4"/>
    </row>
    <row r="41" spans="1:15" ht="12.75" customHeight="1" x14ac:dyDescent="0.6">
      <c r="A41" s="16"/>
      <c r="B41" s="23"/>
      <c r="C41" s="334"/>
      <c r="D41" s="44"/>
      <c r="E41" s="23"/>
      <c r="F41" s="42"/>
      <c r="G41" s="23"/>
      <c r="H41" s="85"/>
      <c r="I41" s="23"/>
      <c r="J41" s="23"/>
      <c r="K41" s="23"/>
      <c r="L41" s="42"/>
      <c r="M41" s="23"/>
      <c r="N41" s="83"/>
      <c r="O41" s="4"/>
    </row>
    <row r="42" spans="1:15" ht="15.75" customHeight="1" x14ac:dyDescent="0.7">
      <c r="A42" s="158" t="s">
        <v>89</v>
      </c>
      <c r="B42" s="23"/>
      <c r="C42" s="334"/>
      <c r="D42" s="44"/>
      <c r="E42" s="23"/>
      <c r="F42" s="42"/>
      <c r="G42" s="23"/>
      <c r="H42" s="85"/>
      <c r="I42" s="23"/>
      <c r="J42" s="23"/>
      <c r="K42" s="23"/>
      <c r="L42" s="42"/>
      <c r="M42" s="23"/>
      <c r="N42" s="83"/>
      <c r="O42" s="4"/>
    </row>
    <row r="43" spans="1:15" ht="15.75" customHeight="1" x14ac:dyDescent="0.7">
      <c r="A43" s="158" t="s">
        <v>787</v>
      </c>
      <c r="B43" s="23"/>
      <c r="C43" s="334"/>
      <c r="D43" s="44"/>
      <c r="E43" s="23"/>
      <c r="F43" s="42"/>
      <c r="G43" s="23"/>
      <c r="H43" s="85"/>
      <c r="I43" s="23"/>
      <c r="J43" s="23"/>
      <c r="K43" s="23"/>
      <c r="L43" s="42"/>
      <c r="M43" s="23"/>
      <c r="N43" s="83"/>
      <c r="O43" s="4"/>
    </row>
    <row r="44" spans="1:15" ht="5.15" customHeight="1" x14ac:dyDescent="0.6">
      <c r="A44" s="16"/>
      <c r="B44" s="23"/>
      <c r="C44" s="334"/>
      <c r="D44" s="44"/>
      <c r="E44" s="23"/>
      <c r="F44" s="42"/>
      <c r="G44" s="23"/>
      <c r="H44" s="85"/>
      <c r="I44" s="23"/>
      <c r="J44" s="23"/>
      <c r="K44" s="23"/>
      <c r="L44" s="42"/>
      <c r="M44" s="23"/>
      <c r="N44" s="83"/>
      <c r="O44" s="4"/>
    </row>
    <row r="45" spans="1:15" ht="12.75" customHeight="1" x14ac:dyDescent="0.6">
      <c r="A45" s="19" t="s">
        <v>366</v>
      </c>
      <c r="B45" s="23"/>
      <c r="C45" s="334"/>
      <c r="D45" s="44"/>
      <c r="E45" s="23"/>
      <c r="F45" s="42"/>
      <c r="G45" s="23"/>
      <c r="H45" s="85"/>
      <c r="I45" s="23"/>
      <c r="J45" s="23"/>
      <c r="K45" s="23"/>
      <c r="L45" s="42"/>
      <c r="M45" s="23"/>
      <c r="N45" s="83"/>
      <c r="O45" s="4"/>
    </row>
    <row r="46" spans="1:15" ht="25.5" customHeight="1" x14ac:dyDescent="0.6">
      <c r="A46" s="431" t="s">
        <v>356</v>
      </c>
      <c r="B46" s="431" t="s">
        <v>357</v>
      </c>
      <c r="C46" s="432" t="s">
        <v>364</v>
      </c>
      <c r="D46" s="160" t="s">
        <v>370</v>
      </c>
      <c r="E46" s="23"/>
      <c r="F46" s="189" t="s">
        <v>249</v>
      </c>
      <c r="G46" s="160"/>
      <c r="H46" s="183" t="s">
        <v>337</v>
      </c>
      <c r="I46" s="159"/>
      <c r="J46" s="160" t="s">
        <v>246</v>
      </c>
      <c r="K46" s="159"/>
      <c r="L46" s="160" t="s">
        <v>218</v>
      </c>
      <c r="M46" s="159"/>
      <c r="N46" s="160" t="s">
        <v>338</v>
      </c>
      <c r="O46" s="4"/>
    </row>
    <row r="47" spans="1:15" ht="12.75" customHeight="1" x14ac:dyDescent="0.6">
      <c r="A47" s="18" t="s">
        <v>367</v>
      </c>
      <c r="B47" s="18" t="s">
        <v>138</v>
      </c>
      <c r="C47" s="327" t="s">
        <v>361</v>
      </c>
      <c r="D47" s="44">
        <v>12573.470198676298</v>
      </c>
      <c r="E47" s="23"/>
      <c r="F47" s="46">
        <v>6506.738092488954</v>
      </c>
      <c r="G47" s="23"/>
      <c r="H47" s="85">
        <f t="shared" ref="H47:H55" si="12">IF(D47&lt;&gt;0,F47/D47,0)</f>
        <v>0.51749739647642912</v>
      </c>
      <c r="I47" s="23"/>
      <c r="J47" s="54">
        <v>1.3727750819950504</v>
      </c>
      <c r="K47" s="23"/>
      <c r="L47" s="46">
        <f t="shared" ref="L47:L54" si="13">F47*J47</f>
        <v>8932.2879184368412</v>
      </c>
      <c r="M47" s="23"/>
      <c r="N47" s="83">
        <f t="shared" ref="N47:N55" si="14">IF(D47&lt;&gt;0,L47/D47,0)</f>
        <v>0.71040753088015507</v>
      </c>
      <c r="O47" s="4"/>
    </row>
    <row r="48" spans="1:15" ht="12.75" customHeight="1" x14ac:dyDescent="0.6">
      <c r="A48" s="18"/>
      <c r="B48" s="364" t="s">
        <v>371</v>
      </c>
      <c r="C48" s="364" t="s">
        <v>372</v>
      </c>
      <c r="D48" s="44">
        <v>12573.470198676298</v>
      </c>
      <c r="E48" s="23"/>
      <c r="F48" s="46">
        <v>521.85787941103717</v>
      </c>
      <c r="G48" s="23"/>
      <c r="H48" s="85">
        <f t="shared" si="12"/>
        <v>4.1504681775598996E-2</v>
      </c>
      <c r="I48" s="23"/>
      <c r="J48" s="54">
        <v>1.7516721267338493</v>
      </c>
      <c r="K48" s="23"/>
      <c r="L48" s="46">
        <f t="shared" si="13"/>
        <v>914.12390148074815</v>
      </c>
      <c r="M48" s="23"/>
      <c r="N48" s="83">
        <f t="shared" si="14"/>
        <v>7.2702594195275125E-2</v>
      </c>
      <c r="O48" s="4"/>
    </row>
    <row r="49" spans="1:15" ht="12.75" customHeight="1" x14ac:dyDescent="0.6">
      <c r="A49" s="18"/>
      <c r="B49" s="327" t="s">
        <v>319</v>
      </c>
      <c r="C49" s="327" t="s">
        <v>377</v>
      </c>
      <c r="D49" s="44">
        <v>12573.470198676298</v>
      </c>
      <c r="E49" s="23"/>
      <c r="F49" s="46">
        <v>222.09389462706721</v>
      </c>
      <c r="G49" s="23"/>
      <c r="H49" s="85">
        <f t="shared" si="12"/>
        <v>1.7663691178148151E-2</v>
      </c>
      <c r="I49" s="23"/>
      <c r="J49" s="54">
        <v>1.7516721267338493</v>
      </c>
      <c r="K49" s="23"/>
      <c r="L49" s="46">
        <f t="shared" si="13"/>
        <v>389.03568473599825</v>
      </c>
      <c r="M49" s="23"/>
      <c r="N49" s="83">
        <f t="shared" si="14"/>
        <v>3.0940995491996706E-2</v>
      </c>
      <c r="O49" s="4"/>
    </row>
    <row r="50" spans="1:15" ht="12.75" customHeight="1" x14ac:dyDescent="0.6">
      <c r="A50" s="18"/>
      <c r="B50" s="327"/>
      <c r="C50" s="327" t="s">
        <v>378</v>
      </c>
      <c r="D50" s="44">
        <v>12573.470198676298</v>
      </c>
      <c r="E50" s="23"/>
      <c r="F50" s="46">
        <v>749.56689436635179</v>
      </c>
      <c r="G50" s="23"/>
      <c r="H50" s="85">
        <f t="shared" si="12"/>
        <v>5.9614957726250008E-2</v>
      </c>
      <c r="I50" s="23"/>
      <c r="J50" s="54">
        <v>1.7516721267338493</v>
      </c>
      <c r="K50" s="23"/>
      <c r="L50" s="46">
        <f t="shared" si="13"/>
        <v>1312.995435983994</v>
      </c>
      <c r="M50" s="23"/>
      <c r="N50" s="83">
        <f t="shared" si="14"/>
        <v>0.10442585978548888</v>
      </c>
      <c r="O50" s="4"/>
    </row>
    <row r="51" spans="1:15" ht="12.75" customHeight="1" x14ac:dyDescent="0.6">
      <c r="A51" s="18"/>
      <c r="B51" s="327"/>
      <c r="C51" s="327" t="s">
        <v>379</v>
      </c>
      <c r="D51" s="44">
        <v>54.350522160920725</v>
      </c>
      <c r="E51" s="23"/>
      <c r="F51" s="46">
        <v>24.124602591808525</v>
      </c>
      <c r="G51" s="23"/>
      <c r="H51" s="85">
        <f t="shared" si="12"/>
        <v>0.44387066825927696</v>
      </c>
      <c r="I51" s="23"/>
      <c r="J51" s="54">
        <v>1.7516721267338493</v>
      </c>
      <c r="K51" s="23"/>
      <c r="L51" s="46">
        <f t="shared" si="13"/>
        <v>42.258393928602175</v>
      </c>
      <c r="M51" s="23"/>
      <c r="N51" s="83">
        <f t="shared" si="14"/>
        <v>0.77751587746450268</v>
      </c>
      <c r="O51" s="4"/>
    </row>
    <row r="52" spans="1:15" ht="12.75" customHeight="1" x14ac:dyDescent="0.6">
      <c r="A52" s="18"/>
      <c r="B52" s="364" t="s">
        <v>371</v>
      </c>
      <c r="C52" s="364" t="s">
        <v>372</v>
      </c>
      <c r="D52" s="44">
        <v>12573.470198676298</v>
      </c>
      <c r="E52" s="23"/>
      <c r="F52" s="46">
        <v>37.275562815074089</v>
      </c>
      <c r="G52" s="23"/>
      <c r="H52" s="85">
        <f t="shared" si="12"/>
        <v>2.9646201268284998E-3</v>
      </c>
      <c r="I52" s="23"/>
      <c r="J52" s="54">
        <v>1.7516721267338493</v>
      </c>
      <c r="K52" s="23"/>
      <c r="L52" s="46">
        <f t="shared" si="13"/>
        <v>65.294564391482027</v>
      </c>
      <c r="M52" s="23"/>
      <c r="N52" s="83">
        <f t="shared" si="14"/>
        <v>5.193042442519653E-3</v>
      </c>
      <c r="O52" s="4"/>
    </row>
    <row r="53" spans="1:15" ht="12.75" customHeight="1" x14ac:dyDescent="0.6">
      <c r="A53" s="18"/>
      <c r="B53" s="18" t="s">
        <v>138</v>
      </c>
      <c r="C53" s="327" t="s">
        <v>380</v>
      </c>
      <c r="D53" s="44">
        <v>12573.470198676298</v>
      </c>
      <c r="E53" s="23"/>
      <c r="F53" s="46">
        <v>8133.4226156111918</v>
      </c>
      <c r="G53" s="23"/>
      <c r="H53" s="85">
        <f t="shared" si="12"/>
        <v>0.6468717455955364</v>
      </c>
      <c r="I53" s="23"/>
      <c r="J53" s="54">
        <v>1.3727750819950504</v>
      </c>
      <c r="K53" s="23"/>
      <c r="L53" s="46">
        <f t="shared" si="13"/>
        <v>11165.35989804605</v>
      </c>
      <c r="M53" s="23"/>
      <c r="N53" s="83">
        <f t="shared" si="14"/>
        <v>0.8880094136001937</v>
      </c>
      <c r="O53" s="4"/>
    </row>
    <row r="54" spans="1:15" ht="12.75" customHeight="1" x14ac:dyDescent="0.6">
      <c r="A54" s="283"/>
      <c r="B54" s="283" t="s">
        <v>138</v>
      </c>
      <c r="C54" s="430" t="s">
        <v>182</v>
      </c>
      <c r="D54" s="434">
        <v>898.10501419116406</v>
      </c>
      <c r="E54" s="435"/>
      <c r="F54" s="438">
        <v>76.720630500909678</v>
      </c>
      <c r="G54" s="435"/>
      <c r="H54" s="436">
        <f t="shared" si="12"/>
        <v>8.542501076002175E-2</v>
      </c>
      <c r="I54" s="435"/>
      <c r="J54" s="437">
        <v>1.5107753644979616</v>
      </c>
      <c r="K54" s="435"/>
      <c r="L54" s="438">
        <f t="shared" si="13"/>
        <v>115.90763850952524</v>
      </c>
      <c r="M54" s="435"/>
      <c r="N54" s="172">
        <f t="shared" si="14"/>
        <v>0.12905800176821414</v>
      </c>
      <c r="O54" s="4"/>
    </row>
    <row r="55" spans="1:15" ht="12.75" customHeight="1" x14ac:dyDescent="0.6">
      <c r="A55" s="18"/>
      <c r="B55" s="18"/>
      <c r="C55" s="18"/>
      <c r="D55" s="44">
        <v>12573.470198676298</v>
      </c>
      <c r="E55" s="23"/>
      <c r="F55" s="42">
        <f>SUM(F47:F54)</f>
        <v>16271.800172412393</v>
      </c>
      <c r="G55" s="23"/>
      <c r="H55" s="85">
        <f t="shared" si="12"/>
        <v>1.2941375702409861</v>
      </c>
      <c r="I55" s="23"/>
      <c r="J55" s="23"/>
      <c r="K55" s="23"/>
      <c r="L55" s="42">
        <f>SUM(L47:L54)</f>
        <v>22937.26343551324</v>
      </c>
      <c r="M55" s="23"/>
      <c r="N55" s="83">
        <f t="shared" si="14"/>
        <v>1.8242587824265106</v>
      </c>
      <c r="O55" s="4"/>
    </row>
    <row r="56" spans="1:15" ht="12.75" customHeight="1" x14ac:dyDescent="0.6">
      <c r="A56" s="18"/>
      <c r="B56" s="18"/>
      <c r="C56" s="18"/>
      <c r="D56" s="44"/>
      <c r="E56" s="23"/>
      <c r="F56" s="42"/>
      <c r="G56" s="23"/>
      <c r="H56" s="85"/>
      <c r="I56" s="23"/>
      <c r="J56" s="23"/>
      <c r="K56" s="23"/>
      <c r="L56" s="42"/>
      <c r="M56" s="23"/>
      <c r="N56" s="83"/>
      <c r="O56" s="4"/>
    </row>
    <row r="57" spans="1:15" ht="12.75" customHeight="1" x14ac:dyDescent="0.6">
      <c r="A57" s="327" t="s">
        <v>368</v>
      </c>
      <c r="B57" s="18" t="s">
        <v>138</v>
      </c>
      <c r="C57" s="327" t="s">
        <v>361</v>
      </c>
      <c r="D57" s="44">
        <v>1248.2465669701094</v>
      </c>
      <c r="E57" s="23"/>
      <c r="F57" s="46">
        <v>645.96434856767235</v>
      </c>
      <c r="G57" s="23"/>
      <c r="H57" s="85">
        <f t="shared" ref="H57:H65" si="15">IF(D57&lt;&gt;0,F57/D57,0)</f>
        <v>0.51749739647642923</v>
      </c>
      <c r="I57" s="23"/>
      <c r="J57" s="54">
        <v>1.3727750819950504</v>
      </c>
      <c r="K57" s="23"/>
      <c r="L57" s="46">
        <f t="shared" ref="L57:L64" si="16">F57*J57</f>
        <v>886.76376157086577</v>
      </c>
      <c r="M57" s="23"/>
      <c r="N57" s="83">
        <f t="shared" ref="N57:N65" si="17">IF(D57&lt;&gt;0,L57/D57,0)</f>
        <v>0.71040753088015529</v>
      </c>
      <c r="O57" s="4"/>
    </row>
    <row r="58" spans="1:15" ht="12.75" customHeight="1" x14ac:dyDescent="0.6">
      <c r="A58" s="327"/>
      <c r="B58" s="364" t="s">
        <v>371</v>
      </c>
      <c r="C58" s="364" t="s">
        <v>372</v>
      </c>
      <c r="D58" s="44">
        <v>1248.2465669701094</v>
      </c>
      <c r="E58" s="23"/>
      <c r="F58" s="46">
        <v>51.808076539578316</v>
      </c>
      <c r="G58" s="23"/>
      <c r="H58" s="85">
        <f t="shared" si="15"/>
        <v>4.1504681775599003E-2</v>
      </c>
      <c r="I58" s="23"/>
      <c r="J58" s="54">
        <v>1.7516721267338493</v>
      </c>
      <c r="K58" s="23"/>
      <c r="L58" s="46">
        <f t="shared" si="16"/>
        <v>90.750763614073193</v>
      </c>
      <c r="M58" s="23"/>
      <c r="N58" s="83">
        <f t="shared" si="17"/>
        <v>7.2702594195275139E-2</v>
      </c>
      <c r="O58" s="4"/>
    </row>
    <row r="59" spans="1:15" ht="12.75" customHeight="1" x14ac:dyDescent="0.6">
      <c r="A59" s="18"/>
      <c r="B59" s="327" t="s">
        <v>319</v>
      </c>
      <c r="C59" s="327" t="s">
        <v>377</v>
      </c>
      <c r="D59" s="44">
        <v>1248.2465669701094</v>
      </c>
      <c r="E59" s="23"/>
      <c r="F59" s="46">
        <v>22.048641873143637</v>
      </c>
      <c r="G59" s="23"/>
      <c r="H59" s="85">
        <f t="shared" si="15"/>
        <v>1.7663691178148151E-2</v>
      </c>
      <c r="I59" s="23"/>
      <c r="J59" s="54">
        <v>1.7516721267338493</v>
      </c>
      <c r="K59" s="23"/>
      <c r="L59" s="46">
        <f t="shared" si="16"/>
        <v>38.621991401522521</v>
      </c>
      <c r="M59" s="23"/>
      <c r="N59" s="83">
        <f t="shared" si="17"/>
        <v>3.094099549199671E-2</v>
      </c>
      <c r="O59" s="4"/>
    </row>
    <row r="60" spans="1:15" ht="12.75" customHeight="1" x14ac:dyDescent="0.6">
      <c r="A60" s="18"/>
      <c r="B60" s="327"/>
      <c r="C60" s="327" t="s">
        <v>378</v>
      </c>
      <c r="D60" s="44">
        <v>1248.2465669701094</v>
      </c>
      <c r="E60" s="23"/>
      <c r="F60" s="46">
        <v>74.414166321859796</v>
      </c>
      <c r="G60" s="23"/>
      <c r="H60" s="85">
        <f t="shared" si="15"/>
        <v>5.9614957726250029E-2</v>
      </c>
      <c r="I60" s="23"/>
      <c r="J60" s="54">
        <v>1.7516721267338493</v>
      </c>
      <c r="K60" s="23"/>
      <c r="L60" s="46">
        <f t="shared" si="16"/>
        <v>130.34922098013854</v>
      </c>
      <c r="M60" s="23"/>
      <c r="N60" s="83">
        <f t="shared" si="17"/>
        <v>0.10442585978548892</v>
      </c>
      <c r="O60" s="4"/>
    </row>
    <row r="61" spans="1:15" ht="12.75" customHeight="1" x14ac:dyDescent="0.6">
      <c r="A61" s="18"/>
      <c r="B61" s="327"/>
      <c r="C61" s="327" t="s">
        <v>379</v>
      </c>
      <c r="D61" s="44">
        <v>5.3957142800198845</v>
      </c>
      <c r="E61" s="23"/>
      <c r="F61" s="46">
        <v>2.3949993032085493</v>
      </c>
      <c r="G61" s="23"/>
      <c r="H61" s="85">
        <f t="shared" si="15"/>
        <v>0.4438706682592769</v>
      </c>
      <c r="I61" s="23"/>
      <c r="J61" s="54">
        <v>1.7516721267338493</v>
      </c>
      <c r="K61" s="23"/>
      <c r="L61" s="46">
        <f t="shared" si="16"/>
        <v>4.1952535229774064</v>
      </c>
      <c r="M61" s="23"/>
      <c r="N61" s="83">
        <f t="shared" si="17"/>
        <v>0.77751587746450246</v>
      </c>
      <c r="O61" s="4"/>
    </row>
    <row r="62" spans="1:15" ht="12.75" customHeight="1" x14ac:dyDescent="0.6">
      <c r="A62" s="18"/>
      <c r="B62" s="364" t="s">
        <v>371</v>
      </c>
      <c r="C62" s="364" t="s">
        <v>372</v>
      </c>
      <c r="D62" s="44">
        <v>1248.2465669701094</v>
      </c>
      <c r="E62" s="23"/>
      <c r="F62" s="46">
        <v>3.7005768956841654</v>
      </c>
      <c r="G62" s="23"/>
      <c r="H62" s="85">
        <f t="shared" si="15"/>
        <v>2.9646201268284998E-3</v>
      </c>
      <c r="I62" s="23"/>
      <c r="J62" s="54">
        <v>1.7516721267338493</v>
      </c>
      <c r="K62" s="23"/>
      <c r="L62" s="46">
        <f t="shared" si="16"/>
        <v>6.4821974010052283</v>
      </c>
      <c r="M62" s="23"/>
      <c r="N62" s="83">
        <f t="shared" si="17"/>
        <v>5.193042442519653E-3</v>
      </c>
      <c r="O62" s="4"/>
    </row>
    <row r="63" spans="1:15" ht="12.75" customHeight="1" x14ac:dyDescent="0.6">
      <c r="A63" s="18"/>
      <c r="B63" s="18" t="s">
        <v>138</v>
      </c>
      <c r="C63" s="327" t="s">
        <v>380</v>
      </c>
      <c r="D63" s="44">
        <v>1248.2465669701094</v>
      </c>
      <c r="E63" s="23"/>
      <c r="F63" s="46">
        <v>807.45543570959035</v>
      </c>
      <c r="G63" s="23"/>
      <c r="H63" s="85">
        <f t="shared" si="15"/>
        <v>0.64687174559553651</v>
      </c>
      <c r="I63" s="23"/>
      <c r="J63" s="54">
        <v>1.3727750819950504</v>
      </c>
      <c r="K63" s="23"/>
      <c r="L63" s="46">
        <f t="shared" si="16"/>
        <v>1108.454701963582</v>
      </c>
      <c r="M63" s="23"/>
      <c r="N63" s="83">
        <f t="shared" si="17"/>
        <v>0.88800941360019392</v>
      </c>
      <c r="O63" s="4"/>
    </row>
    <row r="64" spans="1:15" ht="12.75" customHeight="1" x14ac:dyDescent="0.6">
      <c r="A64" s="283"/>
      <c r="B64" s="283" t="s">
        <v>138</v>
      </c>
      <c r="C64" s="430" t="s">
        <v>182</v>
      </c>
      <c r="D64" s="434">
        <v>89.160469069293541</v>
      </c>
      <c r="E64" s="435"/>
      <c r="F64" s="438">
        <v>7.6165340296129873</v>
      </c>
      <c r="G64" s="435"/>
      <c r="H64" s="436">
        <f t="shared" si="15"/>
        <v>8.542501076002175E-2</v>
      </c>
      <c r="I64" s="435"/>
      <c r="J64" s="437">
        <v>1.5107753644979616</v>
      </c>
      <c r="K64" s="435"/>
      <c r="L64" s="438">
        <f t="shared" si="16"/>
        <v>11.506871974799688</v>
      </c>
      <c r="M64" s="435"/>
      <c r="N64" s="172">
        <f t="shared" si="17"/>
        <v>0.12905800176821414</v>
      </c>
      <c r="O64" s="4"/>
    </row>
    <row r="65" spans="1:15" ht="12.75" customHeight="1" x14ac:dyDescent="0.6">
      <c r="A65" s="16"/>
      <c r="B65" s="23"/>
      <c r="C65" s="334"/>
      <c r="D65" s="44">
        <v>1248.2465669701094</v>
      </c>
      <c r="E65" s="23"/>
      <c r="F65" s="42">
        <f>SUM(F57:F64)</f>
        <v>1615.4027792403501</v>
      </c>
      <c r="G65" s="23"/>
      <c r="H65" s="85">
        <f t="shared" si="15"/>
        <v>1.2941375702409865</v>
      </c>
      <c r="I65" s="23"/>
      <c r="J65" s="23"/>
      <c r="K65" s="23"/>
      <c r="L65" s="42">
        <f>SUM(L57:L64)</f>
        <v>2277.1247624289645</v>
      </c>
      <c r="M65" s="23"/>
      <c r="N65" s="83">
        <f t="shared" si="17"/>
        <v>1.8242587824265113</v>
      </c>
      <c r="O65" s="4"/>
    </row>
    <row r="66" spans="1:15" ht="5.15" customHeight="1" x14ac:dyDescent="0.6">
      <c r="A66" s="16"/>
      <c r="B66" s="23"/>
      <c r="C66" s="23"/>
      <c r="D66" s="23"/>
      <c r="E66" s="23"/>
      <c r="F66" s="23"/>
      <c r="G66" s="23"/>
      <c r="H66" s="23"/>
      <c r="I66" s="23"/>
      <c r="J66" s="23"/>
      <c r="K66" s="23"/>
      <c r="L66" s="23"/>
      <c r="M66" s="23"/>
      <c r="N66" s="83"/>
      <c r="O66" s="4"/>
    </row>
    <row r="67" spans="1:15" ht="12.75" customHeight="1" x14ac:dyDescent="0.6">
      <c r="A67" s="16"/>
      <c r="B67" s="23"/>
      <c r="C67" s="23" t="s">
        <v>369</v>
      </c>
      <c r="D67" s="44">
        <f>SUM(D55,D65)</f>
        <v>13821.716765646406</v>
      </c>
      <c r="E67" s="23"/>
      <c r="F67" s="46">
        <f>SUM(F55,F65)</f>
        <v>17887.202951652744</v>
      </c>
      <c r="G67" s="23"/>
      <c r="H67" s="85">
        <f>IF(D67&lt;&gt;0,F67/D67,0)</f>
        <v>1.2941375702409863</v>
      </c>
      <c r="I67" s="23"/>
      <c r="J67" s="23"/>
      <c r="K67" s="23"/>
      <c r="L67" s="46">
        <f>SUM(L55,L65)</f>
        <v>25214.388197942204</v>
      </c>
      <c r="M67" s="23"/>
      <c r="N67" s="83">
        <f>IF(D67&lt;&gt;0,L67/D67,0)</f>
        <v>1.8242587824265108</v>
      </c>
      <c r="O67" s="4"/>
    </row>
    <row r="68" spans="1:15" ht="12.75" customHeight="1" x14ac:dyDescent="0.6">
      <c r="A68" s="16"/>
      <c r="B68" s="23"/>
      <c r="C68" s="23"/>
      <c r="D68" s="44"/>
      <c r="E68" s="23"/>
      <c r="F68" s="46"/>
      <c r="G68" s="23"/>
      <c r="H68" s="85"/>
      <c r="I68" s="23"/>
      <c r="J68" s="23"/>
      <c r="K68" s="23"/>
      <c r="L68" s="46"/>
      <c r="M68" s="23"/>
      <c r="N68" s="83"/>
      <c r="O68" s="4"/>
    </row>
    <row r="69" spans="1:15" ht="15.75" customHeight="1" x14ac:dyDescent="0.7">
      <c r="A69" s="158" t="s">
        <v>90</v>
      </c>
      <c r="B69" s="23"/>
      <c r="C69" s="23"/>
      <c r="D69" s="44"/>
      <c r="E69" s="23"/>
      <c r="F69" s="46"/>
      <c r="G69" s="23"/>
      <c r="H69" s="85"/>
      <c r="I69" s="23"/>
      <c r="J69" s="23"/>
      <c r="K69" s="23"/>
      <c r="L69" s="46"/>
      <c r="M69" s="23"/>
      <c r="N69" s="83"/>
      <c r="O69" s="4"/>
    </row>
    <row r="70" spans="1:15" ht="15.75" customHeight="1" x14ac:dyDescent="0.7">
      <c r="A70" s="158" t="s">
        <v>787</v>
      </c>
      <c r="B70" s="23"/>
      <c r="C70" s="23"/>
      <c r="D70" s="44"/>
      <c r="E70" s="23"/>
      <c r="F70" s="46"/>
      <c r="G70" s="23"/>
      <c r="H70" s="85"/>
      <c r="I70" s="23"/>
      <c r="J70" s="23"/>
      <c r="K70" s="23"/>
      <c r="L70" s="46"/>
      <c r="M70" s="23"/>
      <c r="N70" s="83"/>
      <c r="O70" s="4"/>
    </row>
    <row r="71" spans="1:15" ht="5.15" customHeight="1" x14ac:dyDescent="0.6">
      <c r="A71" s="16"/>
      <c r="B71" s="23"/>
      <c r="C71" s="23"/>
      <c r="D71" s="23"/>
      <c r="E71" s="23"/>
      <c r="F71" s="23"/>
      <c r="G71" s="23"/>
      <c r="H71" s="23"/>
      <c r="I71" s="23"/>
      <c r="J71" s="23"/>
      <c r="K71" s="23"/>
      <c r="L71" s="23"/>
      <c r="M71" s="23"/>
      <c r="N71" s="83"/>
      <c r="O71" s="4"/>
    </row>
    <row r="72" spans="1:15" ht="12.75" customHeight="1" x14ac:dyDescent="0.6">
      <c r="A72" s="91" t="s">
        <v>536</v>
      </c>
      <c r="B72" s="23"/>
      <c r="C72" s="334"/>
      <c r="D72" s="44"/>
      <c r="E72" s="23"/>
      <c r="F72" s="42"/>
      <c r="G72" s="23"/>
      <c r="H72" s="85"/>
      <c r="I72" s="23"/>
      <c r="J72" s="23"/>
      <c r="K72" s="23"/>
      <c r="L72" s="42"/>
      <c r="M72" s="23"/>
      <c r="N72" s="83"/>
      <c r="O72" s="4"/>
    </row>
    <row r="73" spans="1:15" ht="25.5" customHeight="1" x14ac:dyDescent="0.6">
      <c r="A73" s="431" t="s">
        <v>356</v>
      </c>
      <c r="B73" s="431" t="s">
        <v>357</v>
      </c>
      <c r="C73" s="432" t="s">
        <v>364</v>
      </c>
      <c r="D73" s="160" t="s">
        <v>370</v>
      </c>
      <c r="E73" s="23"/>
      <c r="F73" s="189" t="s">
        <v>249</v>
      </c>
      <c r="G73" s="160"/>
      <c r="H73" s="183" t="s">
        <v>337</v>
      </c>
      <c r="I73" s="159"/>
      <c r="J73" s="160" t="s">
        <v>246</v>
      </c>
      <c r="K73" s="159"/>
      <c r="L73" s="160" t="s">
        <v>218</v>
      </c>
      <c r="M73" s="159"/>
      <c r="N73" s="160" t="s">
        <v>338</v>
      </c>
      <c r="O73" s="4"/>
    </row>
    <row r="74" spans="1:15" ht="12.75" customHeight="1" x14ac:dyDescent="0.6">
      <c r="A74" s="11" t="s">
        <v>425</v>
      </c>
      <c r="B74" s="2" t="s">
        <v>530</v>
      </c>
      <c r="C74" s="188" t="s">
        <v>535</v>
      </c>
      <c r="D74" s="44">
        <f>'Table 3.26-REC Detail NonACS'!E43</f>
        <v>35950.962</v>
      </c>
      <c r="E74" s="20" t="s">
        <v>239</v>
      </c>
      <c r="F74" s="46">
        <f>'Table 3.26-REC Detail NonACS'!F43</f>
        <v>11296.219205754649</v>
      </c>
      <c r="G74" s="20" t="s">
        <v>239</v>
      </c>
      <c r="H74" s="85">
        <f>IF(D74&lt;&gt;0,F74/D74,0)</f>
        <v>0.31421187576996268</v>
      </c>
      <c r="I74" s="23"/>
      <c r="J74" s="228">
        <f>'Table 3.26-REC Detail NonACS'!I43</f>
        <v>1.3452579828504685</v>
      </c>
      <c r="K74" s="23"/>
      <c r="L74" s="46">
        <f>F74*J74</f>
        <v>15196.329062570221</v>
      </c>
      <c r="M74" s="23"/>
      <c r="N74" s="83">
        <f>IF(D74&lt;&gt;0,L74/D74,0)</f>
        <v>0.42269603418596202</v>
      </c>
      <c r="O74" s="4"/>
    </row>
    <row r="75" spans="1:15" ht="12.75" customHeight="1" x14ac:dyDescent="0.6">
      <c r="A75" s="11" t="s">
        <v>426</v>
      </c>
      <c r="B75" s="2" t="s">
        <v>530</v>
      </c>
      <c r="C75" s="188" t="s">
        <v>535</v>
      </c>
      <c r="D75" s="44">
        <f>'Table 3.26-REC Detail NonACS'!E44</f>
        <v>13821.716765646408</v>
      </c>
      <c r="E75" s="20" t="s">
        <v>239</v>
      </c>
      <c r="F75" s="46">
        <f>'Table 3.26-REC Detail NonACS'!F44</f>
        <v>4342.9475512948993</v>
      </c>
      <c r="G75" s="20" t="s">
        <v>239</v>
      </c>
      <c r="H75" s="85">
        <f>IF(D75&lt;&gt;0,F75/D75,0)</f>
        <v>0.31421187576996268</v>
      </c>
      <c r="I75" s="23"/>
      <c r="J75" s="228">
        <f>'Table 3.26-REC Detail NonACS'!I44</f>
        <v>1.3452579828504685</v>
      </c>
      <c r="K75" s="23"/>
      <c r="L75" s="46">
        <f>F75*J75</f>
        <v>5842.3848624803577</v>
      </c>
      <c r="M75" s="23"/>
      <c r="N75" s="83">
        <f>IF(D75&lt;&gt;0,L75/D75,0)</f>
        <v>0.42269603418596197</v>
      </c>
      <c r="O75" s="4"/>
    </row>
    <row r="76" spans="1:15" ht="12.75" customHeight="1" x14ac:dyDescent="0.6">
      <c r="B76" s="2"/>
      <c r="C76" s="188"/>
      <c r="D76" s="44"/>
      <c r="E76" s="23"/>
      <c r="F76" s="46"/>
      <c r="G76" s="23"/>
      <c r="H76" s="85"/>
      <c r="I76" s="23"/>
      <c r="J76" s="228"/>
      <c r="K76" s="23"/>
      <c r="L76" s="46"/>
      <c r="M76" s="23"/>
      <c r="N76" s="83"/>
      <c r="O76" s="4"/>
    </row>
    <row r="77" spans="1:15" ht="12.75" customHeight="1" x14ac:dyDescent="0.6">
      <c r="A77" s="16"/>
      <c r="B77" s="23"/>
      <c r="C77" s="334" t="s">
        <v>537</v>
      </c>
      <c r="D77" s="44">
        <f>D74</f>
        <v>35950.962</v>
      </c>
      <c r="E77" s="23"/>
      <c r="F77" s="46">
        <f>SUM(F74:F75)</f>
        <v>15639.166757049548</v>
      </c>
      <c r="G77" s="23"/>
      <c r="H77" s="85"/>
      <c r="I77" s="23"/>
      <c r="J77" s="23"/>
      <c r="K77" s="23"/>
      <c r="L77" s="46">
        <f>SUM(L74:L75)</f>
        <v>21038.713925050579</v>
      </c>
      <c r="M77" s="23"/>
      <c r="N77" s="83">
        <f>IF(D77&lt;&gt;0,L77/D77,0)</f>
        <v>0.58520586806691233</v>
      </c>
      <c r="O77" s="4"/>
    </row>
    <row r="78" spans="1:15" ht="12.75" customHeight="1" x14ac:dyDescent="0.6">
      <c r="A78" s="16"/>
      <c r="B78" s="23"/>
      <c r="C78" s="23"/>
      <c r="D78" s="23"/>
      <c r="E78" s="23"/>
      <c r="F78" s="23"/>
      <c r="G78" s="23"/>
      <c r="H78" s="23"/>
      <c r="I78" s="23"/>
      <c r="J78" s="23"/>
      <c r="K78" s="23"/>
      <c r="L78" s="23"/>
      <c r="M78" s="23"/>
      <c r="N78" s="83"/>
      <c r="O78" s="4"/>
    </row>
    <row r="79" spans="1:15" ht="12.75" customHeight="1" x14ac:dyDescent="0.6">
      <c r="A79" s="16"/>
      <c r="B79" s="23"/>
      <c r="C79" s="429" t="s">
        <v>269</v>
      </c>
      <c r="D79" s="44">
        <f>D40</f>
        <v>35950.962</v>
      </c>
      <c r="E79" s="23"/>
      <c r="F79" s="46">
        <f>SUM(F40,F67,F77)</f>
        <v>61528.647683441828</v>
      </c>
      <c r="G79" s="23"/>
      <c r="H79" s="85">
        <f>IF(D79&lt;&gt;0,F79/D79,0)</f>
        <v>1.7114603966214263</v>
      </c>
      <c r="I79" s="23"/>
      <c r="J79" s="23"/>
      <c r="K79" s="23"/>
      <c r="L79" s="46">
        <f>SUM(L40,L67,L77)</f>
        <v>85710.158495142154</v>
      </c>
      <c r="M79" s="23"/>
      <c r="N79" s="83">
        <f>IF(D79&lt;&gt;0,L79/D79,0)</f>
        <v>2.3840852574443532</v>
      </c>
      <c r="O79" s="4"/>
    </row>
    <row r="80" spans="1:15" hidden="1" x14ac:dyDescent="0.6">
      <c r="A80" s="16"/>
      <c r="B80" s="23"/>
      <c r="C80" s="23"/>
      <c r="D80" s="23"/>
      <c r="E80" s="23"/>
      <c r="F80" s="23"/>
      <c r="G80" s="23"/>
      <c r="H80" s="23"/>
      <c r="I80" s="2"/>
      <c r="J80" s="23"/>
      <c r="K80" s="2"/>
      <c r="L80" s="2"/>
      <c r="M80" s="2"/>
      <c r="N80" s="83"/>
      <c r="O80" s="4"/>
    </row>
    <row r="81" spans="1:15" hidden="1" x14ac:dyDescent="0.6">
      <c r="B81" s="439"/>
      <c r="C81" s="127" t="s">
        <v>188</v>
      </c>
      <c r="D81" s="440">
        <v>0</v>
      </c>
      <c r="E81" s="4"/>
      <c r="F81" s="440">
        <v>0</v>
      </c>
      <c r="G81" s="439"/>
      <c r="H81" s="440">
        <v>0</v>
      </c>
      <c r="I81" s="2"/>
      <c r="J81" s="4"/>
      <c r="K81" s="2"/>
      <c r="L81" s="2"/>
      <c r="M81" s="2"/>
      <c r="N81" s="58"/>
      <c r="O81" s="4"/>
    </row>
    <row r="82" spans="1:15" hidden="1" x14ac:dyDescent="0.6">
      <c r="B82" s="439"/>
      <c r="C82" s="127" t="s">
        <v>188</v>
      </c>
      <c r="D82" s="440">
        <v>0</v>
      </c>
      <c r="E82" s="4"/>
      <c r="F82" s="440">
        <v>0</v>
      </c>
      <c r="G82" s="439"/>
      <c r="H82" s="440">
        <v>0</v>
      </c>
      <c r="I82" s="2"/>
      <c r="J82" s="4"/>
      <c r="K82" s="2"/>
      <c r="L82" s="2"/>
      <c r="M82" s="2"/>
      <c r="N82" s="58"/>
      <c r="O82" s="4"/>
    </row>
    <row r="83" spans="1:15" hidden="1" x14ac:dyDescent="0.6">
      <c r="B83" s="439"/>
      <c r="C83" s="127" t="s">
        <v>188</v>
      </c>
      <c r="D83" s="440">
        <v>0</v>
      </c>
      <c r="E83" s="4"/>
      <c r="F83" s="440">
        <v>0</v>
      </c>
      <c r="G83" s="439"/>
      <c r="H83" s="515"/>
      <c r="I83" s="2"/>
      <c r="J83" s="4"/>
      <c r="K83" s="2"/>
      <c r="L83" s="2"/>
      <c r="M83" s="2"/>
      <c r="N83" s="58"/>
      <c r="O83" s="4"/>
    </row>
    <row r="84" spans="1:15" x14ac:dyDescent="0.6">
      <c r="A84" s="141"/>
      <c r="B84" s="141"/>
      <c r="C84" s="141"/>
    </row>
    <row r="85" spans="1:15" x14ac:dyDescent="0.6">
      <c r="A85" s="11" t="s">
        <v>235</v>
      </c>
    </row>
    <row r="86" spans="1:15" x14ac:dyDescent="0.6">
      <c r="A86" s="592" t="s">
        <v>796</v>
      </c>
      <c r="B86" s="593"/>
      <c r="C86" s="593"/>
      <c r="D86" s="25"/>
      <c r="E86" s="594"/>
    </row>
    <row r="87" spans="1:15" ht="12.75" customHeight="1" x14ac:dyDescent="0.6">
      <c r="A87" s="25" t="s">
        <v>795</v>
      </c>
      <c r="D87" s="25"/>
      <c r="H87" s="90"/>
    </row>
    <row r="88" spans="1:15" ht="12.75" customHeight="1" x14ac:dyDescent="0.6">
      <c r="A88" s="609" t="s">
        <v>94</v>
      </c>
      <c r="B88" s="610"/>
      <c r="C88" s="610"/>
    </row>
    <row r="89" spans="1:15" x14ac:dyDescent="0.6">
      <c r="H89" s="78"/>
      <c r="I89" s="462"/>
      <c r="J89" s="140"/>
      <c r="K89" s="462"/>
      <c r="L89" s="462"/>
      <c r="M89" s="462"/>
    </row>
  </sheetData>
  <mergeCells count="1">
    <mergeCell ref="A88:C88"/>
  </mergeCells>
  <phoneticPr fontId="0" type="noConversion"/>
  <printOptions horizontalCentered="1"/>
  <pageMargins left="0.75" right="0.75" top="1" bottom="1" header="0.5" footer="0.5"/>
  <pageSetup scale="87" fitToHeight="2" orientation="landscape" r:id="rId1"/>
  <headerFooter alignWithMargins="0">
    <oddFooter>&amp;L&amp;F</oddFooter>
  </headerFooter>
  <rowBreaks count="2" manualBreakCount="2">
    <brk id="41" max="13" man="1"/>
    <brk id="68" max="1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5"/>
  <dimension ref="A1:R124"/>
  <sheetViews>
    <sheetView zoomScale="70" zoomScaleNormal="70" workbookViewId="0"/>
  </sheetViews>
  <sheetFormatPr defaultColWidth="9.08984375" defaultRowHeight="13" x14ac:dyDescent="0.6"/>
  <cols>
    <col min="1" max="1" width="43.31640625" style="11" customWidth="1"/>
    <col min="2" max="2" width="11.6796875" style="62" customWidth="1"/>
    <col min="3" max="3" width="11.6796875" style="52" customWidth="1"/>
    <col min="4" max="4" width="11.6796875" style="53" customWidth="1"/>
    <col min="5" max="5" width="2.6796875" style="53" customWidth="1"/>
    <col min="6" max="6" width="11.6796875" style="64" customWidth="1"/>
    <col min="7" max="7" width="2.6796875" style="24" customWidth="1"/>
    <col min="8" max="8" width="11.6796875" style="11" customWidth="1"/>
    <col min="9" max="9" width="2.31640625" style="24" customWidth="1"/>
    <col min="10" max="10" width="11.6796875" style="24" customWidth="1"/>
    <col min="11" max="11" width="11.6796875" style="64" customWidth="1"/>
    <col min="12" max="12" width="9.08984375" style="11"/>
    <col min="13" max="13" width="11.6796875" style="11" customWidth="1"/>
    <col min="14" max="14" width="11.08984375" style="11" hidden="1" customWidth="1"/>
    <col min="15" max="18" width="0" style="11" hidden="1" customWidth="1"/>
    <col min="19" max="16384" width="9.08984375" style="11"/>
  </cols>
  <sheetData>
    <row r="1" spans="1:16" ht="15.75" customHeight="1" x14ac:dyDescent="0.7">
      <c r="A1" s="158" t="s">
        <v>62</v>
      </c>
    </row>
    <row r="2" spans="1:16" ht="15.75" customHeight="1" x14ac:dyDescent="0.7">
      <c r="A2" s="158" t="s">
        <v>787</v>
      </c>
    </row>
    <row r="3" spans="1:16" s="4" customFormat="1" ht="26" x14ac:dyDescent="0.6">
      <c r="B3" s="189" t="s">
        <v>248</v>
      </c>
      <c r="C3" s="146" t="s">
        <v>249</v>
      </c>
      <c r="D3" s="168" t="s">
        <v>250</v>
      </c>
      <c r="E3" s="168"/>
      <c r="F3" s="169" t="s">
        <v>207</v>
      </c>
      <c r="G3" s="159"/>
      <c r="H3" s="190" t="s">
        <v>246</v>
      </c>
      <c r="I3" s="159"/>
      <c r="J3" s="189" t="s">
        <v>110</v>
      </c>
      <c r="K3" s="41" t="s">
        <v>133</v>
      </c>
    </row>
    <row r="4" spans="1:16" x14ac:dyDescent="0.6">
      <c r="A4" s="15" t="s">
        <v>283</v>
      </c>
      <c r="B4" s="65"/>
      <c r="C4" s="39"/>
      <c r="D4" s="37"/>
      <c r="E4" s="37"/>
      <c r="F4" s="38"/>
      <c r="G4" s="2"/>
      <c r="H4" s="66"/>
      <c r="I4" s="2"/>
      <c r="J4" s="2"/>
      <c r="K4" s="38"/>
    </row>
    <row r="5" spans="1:16" ht="5.15" customHeight="1" x14ac:dyDescent="0.6">
      <c r="A5" s="49"/>
      <c r="B5" s="65"/>
      <c r="C5" s="39"/>
      <c r="D5" s="37"/>
      <c r="E5" s="37"/>
      <c r="F5" s="38"/>
      <c r="G5" s="2"/>
      <c r="H5" s="66"/>
      <c r="I5" s="2"/>
      <c r="J5" s="2"/>
      <c r="K5" s="38"/>
    </row>
    <row r="6" spans="1:16" x14ac:dyDescent="0.6">
      <c r="A6" s="82" t="s">
        <v>275</v>
      </c>
      <c r="B6" s="57"/>
      <c r="C6" s="67"/>
      <c r="D6" s="40"/>
      <c r="E6" s="40"/>
      <c r="F6" s="41"/>
      <c r="G6" s="43"/>
      <c r="H6" s="54"/>
      <c r="I6" s="68"/>
      <c r="J6" s="68"/>
      <c r="K6" s="41"/>
    </row>
    <row r="7" spans="1:16" x14ac:dyDescent="0.6">
      <c r="A7" s="337" t="s">
        <v>135</v>
      </c>
      <c r="B7" s="135">
        <v>870.94583894740663</v>
      </c>
      <c r="C7" s="46">
        <v>34943.479657464159</v>
      </c>
      <c r="D7" s="135">
        <v>583639.42210354749</v>
      </c>
      <c r="E7" s="135"/>
      <c r="F7" s="83">
        <f>C7/D7</f>
        <v>5.9871691894151376E-2</v>
      </c>
      <c r="G7" s="159"/>
      <c r="H7" s="54">
        <v>1.3820275853954722</v>
      </c>
      <c r="I7" s="72"/>
      <c r="J7" s="46">
        <f>C7*H7</f>
        <v>48292.852816320992</v>
      </c>
      <c r="K7" s="83">
        <f>F7*(H7)</f>
        <v>8.2744329782015694E-2</v>
      </c>
      <c r="N7" s="138">
        <f>B7-'Table 3.15-Route UAA NoPARS'!B7-'Table 3.16-Route UAA PARS'!B7</f>
        <v>0</v>
      </c>
      <c r="O7" s="138">
        <f>C7-'Table 3.15-Route UAA NoPARS'!C7-'Table 3.16-Route UAA PARS'!C7</f>
        <v>0</v>
      </c>
      <c r="P7" s="138">
        <f>D7-'Table 3.15-Route UAA NoPARS'!D7-'Table 3.16-Route UAA PARS'!D7</f>
        <v>0</v>
      </c>
    </row>
    <row r="8" spans="1:16" ht="12.75" customHeight="1" x14ac:dyDescent="0.6">
      <c r="A8" s="338" t="s">
        <v>136</v>
      </c>
      <c r="B8" s="135">
        <v>313.17347262336017</v>
      </c>
      <c r="C8" s="46">
        <v>7267.9370728238637</v>
      </c>
      <c r="D8" s="135">
        <v>218689.63896100785</v>
      </c>
      <c r="E8" s="135"/>
      <c r="F8" s="83">
        <f>C8/D8</f>
        <v>3.3234025660080449E-2</v>
      </c>
      <c r="G8" s="159"/>
      <c r="H8" s="54">
        <v>1.2830218458412175</v>
      </c>
      <c r="I8" s="72"/>
      <c r="J8" s="46">
        <f>C8*H8</f>
        <v>9324.9220386322886</v>
      </c>
      <c r="K8" s="83">
        <f>F8*(H8)</f>
        <v>4.2639980947130805E-2</v>
      </c>
      <c r="N8" s="138">
        <f>B8-'Table 3.15-Route UAA NoPARS'!B8-'Table 3.16-Route UAA PARS'!B8</f>
        <v>0</v>
      </c>
      <c r="O8" s="138">
        <f>C8-'Table 3.15-Route UAA NoPARS'!C8-'Table 3.16-Route UAA PARS'!C8</f>
        <v>0</v>
      </c>
      <c r="P8" s="138">
        <f>D8-'Table 3.15-Route UAA NoPARS'!D8-'Table 3.16-Route UAA PARS'!D8</f>
        <v>0</v>
      </c>
    </row>
    <row r="9" spans="1:16" x14ac:dyDescent="0.6">
      <c r="A9" s="337" t="s">
        <v>137</v>
      </c>
      <c r="B9" s="135">
        <v>220.8790411014256</v>
      </c>
      <c r="C9" s="46">
        <v>6375.505002751227</v>
      </c>
      <c r="D9" s="135">
        <v>153027.77162211272</v>
      </c>
      <c r="E9" s="135"/>
      <c r="F9" s="83">
        <f>C9/D9</f>
        <v>4.1662405033871371E-2</v>
      </c>
      <c r="G9" s="159"/>
      <c r="H9" s="54">
        <v>1.5107753644979616</v>
      </c>
      <c r="I9" s="48"/>
      <c r="J9" s="46">
        <f>C9*H9</f>
        <v>9631.9558943900629</v>
      </c>
      <c r="K9" s="83">
        <f>F9*(H9)</f>
        <v>6.2942535150908724E-2</v>
      </c>
      <c r="N9" s="138">
        <f>B9-'Table 3.15-Route UAA NoPARS'!B9-'Table 3.16-Route UAA PARS'!B9</f>
        <v>0</v>
      </c>
      <c r="O9" s="138">
        <f>C9-'Table 3.15-Route UAA NoPARS'!C9-'Table 3.16-Route UAA PARS'!C9</f>
        <v>0</v>
      </c>
      <c r="P9" s="138">
        <f>D9-'Table 3.15-Route UAA NoPARS'!D9-'Table 3.16-Route UAA PARS'!D9</f>
        <v>0</v>
      </c>
    </row>
    <row r="10" spans="1:16" x14ac:dyDescent="0.6">
      <c r="A10" s="337" t="s">
        <v>107</v>
      </c>
      <c r="B10" s="135">
        <v>6.1261716760406282</v>
      </c>
      <c r="C10" s="46">
        <v>239.01013747205465</v>
      </c>
      <c r="D10" s="135">
        <v>4299.9472150336514</v>
      </c>
      <c r="E10" s="135"/>
      <c r="F10" s="83">
        <f>C10/D10</f>
        <v>5.5584435231301826E-2</v>
      </c>
      <c r="G10" s="159"/>
      <c r="H10" s="54">
        <v>1.2830218458412175</v>
      </c>
      <c r="I10" s="72"/>
      <c r="J10" s="46">
        <f>C10*H10</f>
        <v>306.65522775415872</v>
      </c>
      <c r="K10" s="83">
        <f>F10*(H10)</f>
        <v>7.1316044690506467E-2</v>
      </c>
      <c r="N10" s="138">
        <f>B10-'Table 3.15-Route UAA NoPARS'!B10-'Table 3.16-Route UAA PARS'!B10</f>
        <v>0</v>
      </c>
      <c r="O10" s="138">
        <f>C10-'Table 3.15-Route UAA NoPARS'!C10-'Table 3.16-Route UAA PARS'!C10</f>
        <v>0</v>
      </c>
      <c r="P10" s="138">
        <f>D10-'Table 3.15-Route UAA NoPARS'!D10-'Table 3.16-Route UAA PARS'!D10</f>
        <v>0</v>
      </c>
    </row>
    <row r="11" spans="1:16" x14ac:dyDescent="0.6">
      <c r="A11" s="337" t="s">
        <v>277</v>
      </c>
      <c r="B11" s="135">
        <f>SUM(B7:B10)</f>
        <v>1411.1245243482331</v>
      </c>
      <c r="C11" s="46">
        <f>SUM(C7:C10)</f>
        <v>48825.931870511304</v>
      </c>
      <c r="D11" s="135">
        <f>SUM(D7:D10)</f>
        <v>959656.77990170172</v>
      </c>
      <c r="E11" s="135"/>
      <c r="F11" s="83">
        <f>C11/D11</f>
        <v>5.0878535840191301E-2</v>
      </c>
      <c r="G11" s="159"/>
      <c r="H11" s="54"/>
      <c r="I11" s="72"/>
      <c r="J11" s="46">
        <f>SUM(J7:J10)</f>
        <v>67556.38597709751</v>
      </c>
      <c r="K11" s="83">
        <f>SUMPRODUCT(K7:K10,D7:D10)/D11</f>
        <v>7.0396403580889985E-2</v>
      </c>
      <c r="L11" s="84"/>
      <c r="N11" s="138">
        <f>B11-'Table 3.15-Route UAA NoPARS'!B11-'Table 3.16-Route UAA PARS'!B11</f>
        <v>0</v>
      </c>
      <c r="O11" s="138">
        <f>C11-'Table 3.15-Route UAA NoPARS'!C11-'Table 3.16-Route UAA PARS'!C11</f>
        <v>0</v>
      </c>
      <c r="P11" s="138">
        <f>D11-'Table 3.15-Route UAA NoPARS'!D11-'Table 3.16-Route UAA PARS'!D11</f>
        <v>0</v>
      </c>
    </row>
    <row r="12" spans="1:16" ht="5.15" customHeight="1" x14ac:dyDescent="0.6">
      <c r="A12" s="21"/>
      <c r="B12" s="135"/>
      <c r="C12" s="46"/>
      <c r="D12" s="135"/>
      <c r="E12" s="135"/>
      <c r="F12" s="83"/>
      <c r="G12" s="159"/>
      <c r="H12" s="54"/>
      <c r="I12" s="72"/>
      <c r="J12" s="46"/>
      <c r="K12" s="83"/>
      <c r="L12" s="84"/>
    </row>
    <row r="13" spans="1:16" x14ac:dyDescent="0.6">
      <c r="A13" s="89" t="s">
        <v>383</v>
      </c>
      <c r="B13" s="135"/>
      <c r="C13" s="46"/>
      <c r="D13" s="135"/>
      <c r="E13" s="135"/>
      <c r="F13" s="83"/>
      <c r="G13" s="159"/>
      <c r="H13" s="54"/>
      <c r="I13" s="72"/>
      <c r="J13" s="46"/>
      <c r="K13" s="83"/>
      <c r="L13" s="84"/>
    </row>
    <row r="14" spans="1:16" x14ac:dyDescent="0.6">
      <c r="A14" s="337" t="s">
        <v>135</v>
      </c>
      <c r="B14" s="135">
        <v>75.95721727317634</v>
      </c>
      <c r="C14" s="46">
        <v>3061.0834163656655</v>
      </c>
      <c r="D14" s="135">
        <v>50736.856247500487</v>
      </c>
      <c r="E14" s="135"/>
      <c r="F14" s="83">
        <f>C14/D14</f>
        <v>6.0332540144650122E-2</v>
      </c>
      <c r="G14" s="159"/>
      <c r="H14" s="54">
        <v>1.3820275853954722</v>
      </c>
      <c r="I14" s="72"/>
      <c r="J14" s="46">
        <f>C14*H14</f>
        <v>4230.5017226139635</v>
      </c>
      <c r="K14" s="83">
        <f>F14*(H14)</f>
        <v>8.3381234776886207E-2</v>
      </c>
      <c r="L14" s="84"/>
      <c r="N14" s="138">
        <f>B14-'Table 3.15-Route UAA NoPARS'!B14-'Table 3.16-Route UAA PARS'!B14</f>
        <v>0</v>
      </c>
      <c r="O14" s="138">
        <f>C14-'Table 3.15-Route UAA NoPARS'!C14-'Table 3.16-Route UAA PARS'!C14</f>
        <v>0</v>
      </c>
      <c r="P14" s="138">
        <f>D14-'Table 3.15-Route UAA NoPARS'!D14-'Table 3.16-Route UAA PARS'!D14</f>
        <v>0</v>
      </c>
    </row>
    <row r="15" spans="1:16" x14ac:dyDescent="0.6">
      <c r="A15" s="338" t="s">
        <v>136</v>
      </c>
      <c r="B15" s="135">
        <v>43.502929177412312</v>
      </c>
      <c r="C15" s="46">
        <v>1044.3838872128442</v>
      </c>
      <c r="D15" s="135">
        <v>29236.211991524568</v>
      </c>
      <c r="E15" s="135"/>
      <c r="F15" s="83">
        <f>C15/D15</f>
        <v>3.5722270980782525E-2</v>
      </c>
      <c r="G15" s="159"/>
      <c r="H15" s="54">
        <v>1.2830218458412175</v>
      </c>
      <c r="I15" s="72"/>
      <c r="J15" s="46">
        <f>C15*H15</f>
        <v>1339.9673427386492</v>
      </c>
      <c r="K15" s="83">
        <f>F15*(H15)</f>
        <v>4.5832454051403751E-2</v>
      </c>
      <c r="L15" s="84"/>
      <c r="N15" s="138">
        <f>B15-'Table 3.15-Route UAA NoPARS'!B15-'Table 3.16-Route UAA PARS'!B15</f>
        <v>0</v>
      </c>
      <c r="O15" s="138">
        <f>C15-'Table 3.15-Route UAA NoPARS'!C15-'Table 3.16-Route UAA PARS'!C15</f>
        <v>0</v>
      </c>
      <c r="P15" s="138">
        <f>D15-'Table 3.15-Route UAA NoPARS'!D15-'Table 3.16-Route UAA PARS'!D15</f>
        <v>0</v>
      </c>
    </row>
    <row r="16" spans="1:16" x14ac:dyDescent="0.6">
      <c r="A16" s="337" t="s">
        <v>137</v>
      </c>
      <c r="B16" s="135">
        <v>36.546801015741451</v>
      </c>
      <c r="C16" s="46">
        <v>562.03044315165675</v>
      </c>
      <c r="D16" s="135">
        <v>14124.972990772589</v>
      </c>
      <c r="E16" s="135"/>
      <c r="F16" s="83">
        <f>C16/D16</f>
        <v>3.9789841971295377E-2</v>
      </c>
      <c r="G16" s="159"/>
      <c r="H16" s="54">
        <v>1.5107753644979616</v>
      </c>
      <c r="I16" s="72"/>
      <c r="J16" s="46">
        <f>C16*H16</f>
        <v>849.10174761139513</v>
      </c>
      <c r="K16" s="83">
        <f>F16*(H16)</f>
        <v>6.0113513007500063E-2</v>
      </c>
      <c r="L16" s="84"/>
      <c r="N16" s="138">
        <f>B16-'Table 3.15-Route UAA NoPARS'!B16-'Table 3.16-Route UAA PARS'!B16</f>
        <v>0</v>
      </c>
      <c r="O16" s="138">
        <f>C16-'Table 3.15-Route UAA NoPARS'!C16-'Table 3.16-Route UAA PARS'!C16</f>
        <v>0</v>
      </c>
      <c r="P16" s="138">
        <f>D16-'Table 3.15-Route UAA NoPARS'!D16-'Table 3.16-Route UAA PARS'!D16</f>
        <v>0</v>
      </c>
    </row>
    <row r="17" spans="1:16" ht="12.75" customHeight="1" x14ac:dyDescent="0.6">
      <c r="A17" s="337" t="s">
        <v>107</v>
      </c>
      <c r="B17" s="135">
        <v>0.73687351032793047</v>
      </c>
      <c r="C17" s="46">
        <v>28.748825256040078</v>
      </c>
      <c r="D17" s="135">
        <v>508.37816652859374</v>
      </c>
      <c r="E17" s="135"/>
      <c r="F17" s="83">
        <f>C17/D17</f>
        <v>5.655007856129695E-2</v>
      </c>
      <c r="G17" s="159"/>
      <c r="H17" s="54">
        <v>1.2830218458412175</v>
      </c>
      <c r="I17" s="72"/>
      <c r="J17" s="46">
        <f>C17*H17</f>
        <v>36.885370845771156</v>
      </c>
      <c r="K17" s="83">
        <f>F17*(H17)</f>
        <v>7.2554986178181069E-2</v>
      </c>
      <c r="L17" s="84"/>
      <c r="N17" s="138">
        <f>B17-'Table 3.15-Route UAA NoPARS'!B17-'Table 3.16-Route UAA PARS'!B17</f>
        <v>0</v>
      </c>
      <c r="O17" s="138">
        <f>C17-'Table 3.15-Route UAA NoPARS'!C17-'Table 3.16-Route UAA PARS'!C17</f>
        <v>0</v>
      </c>
      <c r="P17" s="138">
        <f>D17-'Table 3.15-Route UAA NoPARS'!D17-'Table 3.16-Route UAA PARS'!D17</f>
        <v>0</v>
      </c>
    </row>
    <row r="18" spans="1:16" x14ac:dyDescent="0.6">
      <c r="A18" s="337" t="s">
        <v>277</v>
      </c>
      <c r="B18" s="135">
        <f>SUM(B14:B17)</f>
        <v>156.74382097665804</v>
      </c>
      <c r="C18" s="46">
        <f>SUM(C14:C17)</f>
        <v>4696.2465719862066</v>
      </c>
      <c r="D18" s="135">
        <f>SUM(D14:D17)</f>
        <v>94606.419396326237</v>
      </c>
      <c r="E18" s="135"/>
      <c r="F18" s="83">
        <f>C18/D18</f>
        <v>4.9639829960297296E-2</v>
      </c>
      <c r="G18" s="159"/>
      <c r="H18" s="54"/>
      <c r="I18" s="72"/>
      <c r="J18" s="46">
        <f>SUM(J14:J17)</f>
        <v>6456.4561838097779</v>
      </c>
      <c r="K18" s="83">
        <f>SUMPRODUCT(K14:K17,D14:D17)/D18</f>
        <v>6.8245434347983525E-2</v>
      </c>
      <c r="L18" s="84"/>
      <c r="N18" s="138">
        <f>B18-'Table 3.15-Route UAA NoPARS'!B18-'Table 3.16-Route UAA PARS'!B18</f>
        <v>0</v>
      </c>
      <c r="O18" s="138">
        <f>C18-'Table 3.15-Route UAA NoPARS'!C18-'Table 3.16-Route UAA PARS'!C18</f>
        <v>0</v>
      </c>
      <c r="P18" s="138">
        <f>D18-'Table 3.15-Route UAA NoPARS'!D18-'Table 3.16-Route UAA PARS'!D18</f>
        <v>0</v>
      </c>
    </row>
    <row r="19" spans="1:16" ht="5.15" customHeight="1" x14ac:dyDescent="0.6">
      <c r="A19" s="81"/>
      <c r="B19" s="135"/>
      <c r="C19" s="135"/>
      <c r="D19" s="135"/>
      <c r="E19" s="135"/>
      <c r="F19" s="83"/>
      <c r="G19" s="159"/>
      <c r="H19" s="54"/>
      <c r="I19" s="72"/>
      <c r="J19" s="46"/>
      <c r="K19" s="83"/>
      <c r="L19" s="84"/>
    </row>
    <row r="20" spans="1:16" ht="12.75" customHeight="1" x14ac:dyDescent="0.6">
      <c r="A20" s="89" t="s">
        <v>384</v>
      </c>
      <c r="B20" s="135"/>
      <c r="C20" s="135"/>
      <c r="D20" s="135"/>
      <c r="E20" s="135"/>
      <c r="F20" s="83"/>
      <c r="G20" s="159"/>
      <c r="H20" s="54"/>
      <c r="I20" s="72"/>
      <c r="J20" s="46"/>
      <c r="K20" s="83"/>
      <c r="L20" s="84"/>
    </row>
    <row r="21" spans="1:16" ht="12.75" customHeight="1" x14ac:dyDescent="0.6">
      <c r="A21" s="337" t="s">
        <v>135</v>
      </c>
      <c r="B21" s="135">
        <v>275.36532561951759</v>
      </c>
      <c r="C21" s="46">
        <v>11079.722434743842</v>
      </c>
      <c r="D21" s="135">
        <v>172802.10609187986</v>
      </c>
      <c r="E21" s="135"/>
      <c r="F21" s="83">
        <f>C21/D21</f>
        <v>6.4117982617947322E-2</v>
      </c>
      <c r="G21" s="159"/>
      <c r="H21" s="54">
        <v>1.3820275853954722</v>
      </c>
      <c r="I21" s="72"/>
      <c r="J21" s="46">
        <f>C21*H21</f>
        <v>15312.482043341075</v>
      </c>
      <c r="K21" s="83">
        <f>F21*(H21)</f>
        <v>8.8612820697910599E-2</v>
      </c>
      <c r="L21" s="84"/>
      <c r="N21" s="138">
        <f>B21-'Table 3.15-Route UAA NoPARS'!B21-'Table 3.16-Route UAA PARS'!B21</f>
        <v>0</v>
      </c>
      <c r="O21" s="138">
        <f>C21-'Table 3.15-Route UAA NoPARS'!C21-'Table 3.16-Route UAA PARS'!C21</f>
        <v>0</v>
      </c>
      <c r="P21" s="138">
        <f>D21-'Table 3.15-Route UAA NoPARS'!D21-'Table 3.16-Route UAA PARS'!D21</f>
        <v>0</v>
      </c>
    </row>
    <row r="22" spans="1:16" ht="12.75" customHeight="1" x14ac:dyDescent="0.6">
      <c r="A22" s="338" t="s">
        <v>136</v>
      </c>
      <c r="B22" s="135">
        <v>117.65122300380781</v>
      </c>
      <c r="C22" s="46">
        <v>2886.2938841605942</v>
      </c>
      <c r="D22" s="135">
        <v>78339.525738230732</v>
      </c>
      <c r="E22" s="135"/>
      <c r="F22" s="83">
        <f>C22/D22</f>
        <v>3.6843392361157024E-2</v>
      </c>
      <c r="G22" s="159"/>
      <c r="H22" s="54">
        <v>1.2830218458412175</v>
      </c>
      <c r="I22" s="72"/>
      <c r="J22" s="46">
        <f>C22*H22</f>
        <v>3703.1781068959426</v>
      </c>
      <c r="K22" s="83">
        <f>F22*(H22)</f>
        <v>4.7270877274263899E-2</v>
      </c>
      <c r="L22" s="84"/>
      <c r="N22" s="138">
        <f>B22-'Table 3.15-Route UAA NoPARS'!B22-'Table 3.16-Route UAA PARS'!B22</f>
        <v>0</v>
      </c>
      <c r="O22" s="138">
        <f>C22-'Table 3.15-Route UAA NoPARS'!C22-'Table 3.16-Route UAA PARS'!C22</f>
        <v>0</v>
      </c>
      <c r="P22" s="138">
        <f>D22-'Table 3.15-Route UAA NoPARS'!D22-'Table 3.16-Route UAA PARS'!D22</f>
        <v>0</v>
      </c>
    </row>
    <row r="23" spans="1:16" ht="12.75" customHeight="1" x14ac:dyDescent="0.6">
      <c r="A23" s="337" t="s">
        <v>137</v>
      </c>
      <c r="B23" s="135">
        <v>55.511874506284997</v>
      </c>
      <c r="C23" s="46">
        <v>1759.5685766843794</v>
      </c>
      <c r="D23" s="135">
        <v>36238.855316101253</v>
      </c>
      <c r="E23" s="135"/>
      <c r="F23" s="83">
        <f>C23/D23</f>
        <v>4.8554750455999836E-2</v>
      </c>
      <c r="G23" s="159"/>
      <c r="H23" s="54">
        <v>1.5107753644979616</v>
      </c>
      <c r="I23" s="72"/>
      <c r="J23" s="46">
        <f>C23*H23</f>
        <v>2658.3128577995026</v>
      </c>
      <c r="K23" s="83">
        <f>F23*(H23)</f>
        <v>7.3355320818270717E-2</v>
      </c>
      <c r="L23" s="84"/>
      <c r="N23" s="138">
        <f>B23-'Table 3.15-Route UAA NoPARS'!B23-'Table 3.16-Route UAA PARS'!B23</f>
        <v>0</v>
      </c>
      <c r="O23" s="138">
        <f>C23-'Table 3.15-Route UAA NoPARS'!C23-'Table 3.16-Route UAA PARS'!C23</f>
        <v>0</v>
      </c>
      <c r="P23" s="138">
        <f>D23-'Table 3.15-Route UAA NoPARS'!D23-'Table 3.16-Route UAA PARS'!D23</f>
        <v>0</v>
      </c>
    </row>
    <row r="24" spans="1:16" ht="12.75" customHeight="1" x14ac:dyDescent="0.6">
      <c r="A24" s="337" t="s">
        <v>107</v>
      </c>
      <c r="B24" s="135">
        <v>1.4062510255737739</v>
      </c>
      <c r="C24" s="46">
        <v>54.864321262350558</v>
      </c>
      <c r="D24" s="135">
        <v>970.19000960150527</v>
      </c>
      <c r="E24" s="135"/>
      <c r="F24" s="83">
        <f>C24/D24</f>
        <v>5.6550078561296943E-2</v>
      </c>
      <c r="G24" s="159"/>
      <c r="H24" s="54">
        <v>1.2830218458412175</v>
      </c>
      <c r="I24" s="72"/>
      <c r="J24" s="46">
        <f>C24*H24</f>
        <v>70.392122736846574</v>
      </c>
      <c r="K24" s="83">
        <f>F24*(H24)</f>
        <v>7.2554986178181069E-2</v>
      </c>
      <c r="L24" s="84"/>
      <c r="N24" s="138">
        <f>B24-'Table 3.15-Route UAA NoPARS'!B24-'Table 3.16-Route UAA PARS'!B24</f>
        <v>0</v>
      </c>
      <c r="O24" s="138">
        <f>C24-'Table 3.15-Route UAA NoPARS'!C24-'Table 3.16-Route UAA PARS'!C24</f>
        <v>0</v>
      </c>
      <c r="P24" s="138">
        <f>D24-'Table 3.15-Route UAA NoPARS'!D24-'Table 3.16-Route UAA PARS'!D24</f>
        <v>0</v>
      </c>
    </row>
    <row r="25" spans="1:16" ht="12.75" customHeight="1" x14ac:dyDescent="0.6">
      <c r="A25" s="337" t="s">
        <v>277</v>
      </c>
      <c r="B25" s="135">
        <f>SUM(B21:B24)</f>
        <v>449.93467415518421</v>
      </c>
      <c r="C25" s="46">
        <f>SUM(C21:C24)</f>
        <v>15780.449216851166</v>
      </c>
      <c r="D25" s="135">
        <f>SUM(D21:D24)</f>
        <v>288350.67715581338</v>
      </c>
      <c r="E25" s="135"/>
      <c r="F25" s="83">
        <f>C25/D25</f>
        <v>5.4726589763907617E-2</v>
      </c>
      <c r="G25" s="159"/>
      <c r="H25" s="54"/>
      <c r="I25" s="72"/>
      <c r="J25" s="46">
        <f>SUM(J21:J24)</f>
        <v>21744.365130773367</v>
      </c>
      <c r="K25" s="83">
        <f>SUMPRODUCT(K21:K24,D21:D24)/D25</f>
        <v>7.5409447084542711E-2</v>
      </c>
      <c r="L25" s="84"/>
      <c r="N25" s="138">
        <f>B25-'Table 3.15-Route UAA NoPARS'!B25-'Table 3.16-Route UAA PARS'!B25</f>
        <v>0</v>
      </c>
      <c r="O25" s="138">
        <f>C25-'Table 3.15-Route UAA NoPARS'!C25-'Table 3.16-Route UAA PARS'!C25</f>
        <v>0</v>
      </c>
      <c r="P25" s="138">
        <f>D25-'Table 3.15-Route UAA NoPARS'!D25-'Table 3.16-Route UAA PARS'!D25</f>
        <v>0</v>
      </c>
    </row>
    <row r="26" spans="1:16" ht="5.15" customHeight="1" x14ac:dyDescent="0.6">
      <c r="A26" s="81"/>
      <c r="B26" s="135"/>
      <c r="C26" s="135"/>
      <c r="D26" s="135"/>
      <c r="E26" s="135"/>
      <c r="F26" s="83"/>
      <c r="G26" s="159"/>
      <c r="H26" s="54"/>
      <c r="I26" s="72"/>
      <c r="J26" s="46"/>
      <c r="K26" s="83"/>
      <c r="L26" s="84"/>
    </row>
    <row r="27" spans="1:16" ht="12.75" customHeight="1" x14ac:dyDescent="0.6">
      <c r="A27" s="21" t="s">
        <v>276</v>
      </c>
      <c r="B27" s="135"/>
      <c r="C27" s="135"/>
      <c r="D27" s="135"/>
      <c r="E27" s="135"/>
      <c r="F27" s="83"/>
      <c r="G27" s="159"/>
      <c r="H27" s="54"/>
      <c r="I27" s="72"/>
      <c r="J27" s="46"/>
      <c r="K27" s="83"/>
      <c r="L27" s="84"/>
    </row>
    <row r="28" spans="1:16" ht="12.75" customHeight="1" x14ac:dyDescent="0.6">
      <c r="A28" s="337" t="s">
        <v>135</v>
      </c>
      <c r="B28" s="135">
        <v>30.977507784218854</v>
      </c>
      <c r="C28" s="46">
        <v>1173.3760755384344</v>
      </c>
      <c r="D28" s="135">
        <v>22945.277475411684</v>
      </c>
      <c r="E28" s="135"/>
      <c r="F28" s="83">
        <f>C28/D28</f>
        <v>5.1138020745045781E-2</v>
      </c>
      <c r="G28" s="159"/>
      <c r="H28" s="54">
        <v>1.3820275853954722</v>
      </c>
      <c r="I28" s="72"/>
      <c r="J28" s="46">
        <f>C28*H28</f>
        <v>1621.6381044371976</v>
      </c>
      <c r="K28" s="83">
        <f>F28*(H28)</f>
        <v>7.0674155332179189E-2</v>
      </c>
      <c r="L28" s="84"/>
      <c r="N28" s="138">
        <f>B28-'Table 3.15-Route UAA NoPARS'!B28-'Table 3.16-Route UAA PARS'!B28</f>
        <v>0</v>
      </c>
      <c r="O28" s="138">
        <f>C28-'Table 3.15-Route UAA NoPARS'!C28-'Table 3.16-Route UAA PARS'!C28</f>
        <v>0</v>
      </c>
      <c r="P28" s="138">
        <f>D28-'Table 3.15-Route UAA NoPARS'!D28-'Table 3.16-Route UAA PARS'!D28</f>
        <v>0</v>
      </c>
    </row>
    <row r="29" spans="1:16" ht="12.75" customHeight="1" x14ac:dyDescent="0.6">
      <c r="A29" s="338" t="s">
        <v>136</v>
      </c>
      <c r="B29" s="135">
        <v>16.655861990677788</v>
      </c>
      <c r="C29" s="46">
        <v>377.99751416923851</v>
      </c>
      <c r="D29" s="135">
        <v>11704.377946438623</v>
      </c>
      <c r="E29" s="135"/>
      <c r="F29" s="83">
        <f>C29/D29</f>
        <v>3.2295395440836275E-2</v>
      </c>
      <c r="G29" s="159"/>
      <c r="H29" s="54">
        <v>1.2830218458412175</v>
      </c>
      <c r="I29" s="72"/>
      <c r="J29" s="46">
        <f>C29*H29</f>
        <v>484.97906835280816</v>
      </c>
      <c r="K29" s="83">
        <f>F29*(H29)</f>
        <v>4.1435697870673797E-2</v>
      </c>
      <c r="L29" s="84"/>
      <c r="N29" s="138">
        <f>B29-'Table 3.15-Route UAA NoPARS'!B29-'Table 3.16-Route UAA PARS'!B29</f>
        <v>0</v>
      </c>
      <c r="O29" s="138">
        <f>C29-'Table 3.15-Route UAA NoPARS'!C29-'Table 3.16-Route UAA PARS'!C29</f>
        <v>0</v>
      </c>
      <c r="P29" s="138">
        <f>D29-'Table 3.15-Route UAA NoPARS'!D29-'Table 3.16-Route UAA PARS'!D29</f>
        <v>0</v>
      </c>
    </row>
    <row r="30" spans="1:16" ht="12.75" customHeight="1" x14ac:dyDescent="0.6">
      <c r="A30" s="337" t="s">
        <v>137</v>
      </c>
      <c r="B30" s="135">
        <v>13.131897576755586</v>
      </c>
      <c r="C30" s="46">
        <v>1210.3849836617267</v>
      </c>
      <c r="D30" s="135">
        <v>6841.9093142250913</v>
      </c>
      <c r="E30" s="135"/>
      <c r="F30" s="83">
        <f>C30/D30</f>
        <v>0.17690748708773463</v>
      </c>
      <c r="G30" s="159"/>
      <c r="H30" s="54">
        <v>1.5107753644979616</v>
      </c>
      <c r="I30" s="72"/>
      <c r="J30" s="46">
        <f>C30*H30</f>
        <v>1828.6198148744043</v>
      </c>
      <c r="K30" s="83">
        <f>F30*(H30)</f>
        <v>0.2672674732873907</v>
      </c>
      <c r="L30" s="84"/>
      <c r="N30" s="138">
        <f>B30-'Table 3.15-Route UAA NoPARS'!B30-'Table 3.16-Route UAA PARS'!B30</f>
        <v>0</v>
      </c>
      <c r="O30" s="138">
        <f>C30-'Table 3.15-Route UAA NoPARS'!C30-'Table 3.16-Route UAA PARS'!C30</f>
        <v>0</v>
      </c>
      <c r="P30" s="138">
        <f>D30-'Table 3.15-Route UAA NoPARS'!D30-'Table 3.16-Route UAA PARS'!D30</f>
        <v>0</v>
      </c>
    </row>
    <row r="31" spans="1:16" ht="12.75" customHeight="1" x14ac:dyDescent="0.6">
      <c r="A31" s="337" t="s">
        <v>107</v>
      </c>
      <c r="B31" s="135">
        <v>0.11301968811549393</v>
      </c>
      <c r="C31" s="46">
        <v>4.4094179239507492</v>
      </c>
      <c r="D31" s="135">
        <v>86.326990913614921</v>
      </c>
      <c r="E31" s="135"/>
      <c r="F31" s="83">
        <f>C31/D31</f>
        <v>5.10780913047593E-2</v>
      </c>
      <c r="G31" s="159"/>
      <c r="H31" s="54">
        <v>1.2830218458412175</v>
      </c>
      <c r="I31" s="72"/>
      <c r="J31" s="46">
        <f>C31*H31</f>
        <v>5.6573795238726392</v>
      </c>
      <c r="K31" s="83">
        <f>F31*(H31)</f>
        <v>6.5534306987878516E-2</v>
      </c>
      <c r="L31" s="84"/>
      <c r="N31" s="138">
        <f>B31-'Table 3.15-Route UAA NoPARS'!B31-'Table 3.16-Route UAA PARS'!B31</f>
        <v>0</v>
      </c>
      <c r="O31" s="138">
        <f>C31-'Table 3.15-Route UAA NoPARS'!C31-'Table 3.16-Route UAA PARS'!C31</f>
        <v>0</v>
      </c>
      <c r="P31" s="138">
        <f>D31-'Table 3.15-Route UAA NoPARS'!D31-'Table 3.16-Route UAA PARS'!D31</f>
        <v>0</v>
      </c>
    </row>
    <row r="32" spans="1:16" ht="12.75" customHeight="1" x14ac:dyDescent="0.6">
      <c r="A32" s="337" t="s">
        <v>277</v>
      </c>
      <c r="B32" s="135">
        <f>SUM(B28:B31)</f>
        <v>60.87828703976772</v>
      </c>
      <c r="C32" s="46">
        <f>SUM(C28:C31)</f>
        <v>2766.1679912933505</v>
      </c>
      <c r="D32" s="135">
        <f>SUM(D28:D31)</f>
        <v>41577.891726989015</v>
      </c>
      <c r="E32" s="135"/>
      <c r="F32" s="83">
        <f>C32/D32</f>
        <v>6.652978004408476E-2</v>
      </c>
      <c r="G32" s="159"/>
      <c r="H32" s="54"/>
      <c r="I32" s="72"/>
      <c r="J32" s="46">
        <f>SUM(J28:J31)</f>
        <v>3940.894367188283</v>
      </c>
      <c r="K32" s="83">
        <f>SUMPRODUCT(K28:K31,D28:D31)/D32</f>
        <v>9.4783410209088884E-2</v>
      </c>
      <c r="L32" s="84"/>
      <c r="N32" s="138">
        <f>B32-'Table 3.15-Route UAA NoPARS'!B32-'Table 3.16-Route UAA PARS'!B32</f>
        <v>0</v>
      </c>
      <c r="O32" s="138">
        <f>C32-'Table 3.15-Route UAA NoPARS'!C32-'Table 3.16-Route UAA PARS'!C32</f>
        <v>0</v>
      </c>
      <c r="P32" s="138">
        <f>D32-'Table 3.15-Route UAA NoPARS'!D32-'Table 3.16-Route UAA PARS'!D32</f>
        <v>0</v>
      </c>
    </row>
    <row r="33" spans="1:17" ht="5.15" customHeight="1" x14ac:dyDescent="0.6">
      <c r="A33" s="81"/>
      <c r="B33" s="135"/>
      <c r="C33" s="46"/>
      <c r="D33" s="135"/>
      <c r="E33" s="135"/>
      <c r="F33" s="83"/>
      <c r="G33" s="159"/>
      <c r="H33" s="54"/>
      <c r="I33" s="72"/>
      <c r="J33" s="46"/>
      <c r="K33" s="83"/>
      <c r="L33" s="84"/>
    </row>
    <row r="34" spans="1:17" ht="12.75" customHeight="1" x14ac:dyDescent="0.6">
      <c r="A34" s="89" t="s">
        <v>288</v>
      </c>
      <c r="B34" s="135"/>
      <c r="C34" s="46"/>
      <c r="D34" s="135"/>
      <c r="E34" s="135"/>
      <c r="F34" s="83"/>
      <c r="G34" s="159"/>
      <c r="H34" s="54"/>
      <c r="I34" s="72"/>
      <c r="J34" s="46"/>
      <c r="K34" s="83"/>
      <c r="L34" s="84"/>
    </row>
    <row r="35" spans="1:17" x14ac:dyDescent="0.6">
      <c r="A35" s="337" t="s">
        <v>135</v>
      </c>
      <c r="B35" s="135">
        <f t="shared" ref="B35:D38" si="0">SUM(B7,B14,B21,B28)</f>
        <v>1253.2458896243195</v>
      </c>
      <c r="C35" s="46">
        <f t="shared" si="0"/>
        <v>50257.661584112102</v>
      </c>
      <c r="D35" s="135">
        <f t="shared" si="0"/>
        <v>830123.66191833955</v>
      </c>
      <c r="E35" s="135"/>
      <c r="F35" s="83">
        <f>C35/D35</f>
        <v>6.054237927391596E-2</v>
      </c>
      <c r="G35" s="159"/>
      <c r="H35" s="54">
        <v>1.3820275853954722</v>
      </c>
      <c r="I35" s="72"/>
      <c r="J35" s="46">
        <f>SUM(J7,J14,J21,J28)</f>
        <v>69457.47468671322</v>
      </c>
      <c r="K35" s="83">
        <f>F35*(H35)</f>
        <v>8.3671238242026963E-2</v>
      </c>
      <c r="L35" s="84"/>
      <c r="N35" s="138">
        <f>B35-'Table 3.15-Route UAA NoPARS'!B35-'Table 3.16-Route UAA PARS'!B35</f>
        <v>0</v>
      </c>
      <c r="O35" s="138">
        <f>C35-'Table 3.15-Route UAA NoPARS'!C35-'Table 3.16-Route UAA PARS'!C35</f>
        <v>0</v>
      </c>
      <c r="P35" s="138">
        <f>D35-'Table 3.15-Route UAA NoPARS'!D35-'Table 3.16-Route UAA PARS'!D35</f>
        <v>0</v>
      </c>
    </row>
    <row r="36" spans="1:17" x14ac:dyDescent="0.6">
      <c r="A36" s="338" t="s">
        <v>136</v>
      </c>
      <c r="B36" s="135">
        <f t="shared" si="0"/>
        <v>490.9834867952581</v>
      </c>
      <c r="C36" s="46">
        <f t="shared" si="0"/>
        <v>11576.612358366541</v>
      </c>
      <c r="D36" s="135">
        <f t="shared" si="0"/>
        <v>337969.75463720178</v>
      </c>
      <c r="E36" s="135"/>
      <c r="F36" s="83">
        <f>C36/D36</f>
        <v>3.4253397528999641E-2</v>
      </c>
      <c r="G36" s="159"/>
      <c r="H36" s="54">
        <v>1.2830218458412175</v>
      </c>
      <c r="I36" s="72"/>
      <c r="J36" s="46">
        <f>SUM(J8,J15,J22,J29)</f>
        <v>14853.046556619689</v>
      </c>
      <c r="K36" s="83">
        <f>F36*(H36)</f>
        <v>4.3947857323990119E-2</v>
      </c>
      <c r="L36" s="84"/>
      <c r="N36" s="138">
        <f>B36-'Table 3.15-Route UAA NoPARS'!B36-'Table 3.16-Route UAA PARS'!B36</f>
        <v>0</v>
      </c>
      <c r="O36" s="138">
        <f>C36-'Table 3.15-Route UAA NoPARS'!C36-'Table 3.16-Route UAA PARS'!C36</f>
        <v>0</v>
      </c>
      <c r="P36" s="138">
        <f>D36-'Table 3.15-Route UAA NoPARS'!D36-'Table 3.16-Route UAA PARS'!D36</f>
        <v>0</v>
      </c>
    </row>
    <row r="37" spans="1:17" x14ac:dyDescent="0.6">
      <c r="A37" s="337" t="s">
        <v>137</v>
      </c>
      <c r="B37" s="135">
        <f t="shared" si="0"/>
        <v>326.06961420020764</v>
      </c>
      <c r="C37" s="46">
        <f t="shared" si="0"/>
        <v>9907.4890062489903</v>
      </c>
      <c r="D37" s="135">
        <f t="shared" si="0"/>
        <v>210233.50924321165</v>
      </c>
      <c r="E37" s="135"/>
      <c r="F37" s="83">
        <f>C37/D37</f>
        <v>4.7126117248927096E-2</v>
      </c>
      <c r="G37" s="159"/>
      <c r="H37" s="54">
        <v>1.5107753644979616</v>
      </c>
      <c r="I37" s="72"/>
      <c r="J37" s="46">
        <f>SUM(J9,J16,J23,J30)</f>
        <v>14967.990314675366</v>
      </c>
      <c r="K37" s="83">
        <f>F37*(H37)</f>
        <v>7.1196976964121514E-2</v>
      </c>
      <c r="L37" s="84"/>
      <c r="N37" s="138">
        <f>B37-'Table 3.15-Route UAA NoPARS'!B37-'Table 3.16-Route UAA PARS'!B37</f>
        <v>0</v>
      </c>
      <c r="O37" s="138">
        <f>C37-'Table 3.15-Route UAA NoPARS'!C37-'Table 3.16-Route UAA PARS'!C37</f>
        <v>0</v>
      </c>
      <c r="P37" s="138">
        <f>D37-'Table 3.15-Route UAA NoPARS'!D37-'Table 3.16-Route UAA PARS'!D37</f>
        <v>0</v>
      </c>
    </row>
    <row r="38" spans="1:17" x14ac:dyDescent="0.6">
      <c r="A38" s="337" t="s">
        <v>107</v>
      </c>
      <c r="B38" s="135">
        <f t="shared" si="0"/>
        <v>8.3823159000578276</v>
      </c>
      <c r="C38" s="46">
        <f t="shared" si="0"/>
        <v>327.03270191439606</v>
      </c>
      <c r="D38" s="135">
        <f t="shared" si="0"/>
        <v>5864.8423820773651</v>
      </c>
      <c r="E38" s="135"/>
      <c r="F38" s="83">
        <f>C38/D38</f>
        <v>5.5761550031385318E-2</v>
      </c>
      <c r="G38" s="159"/>
      <c r="H38" s="54">
        <v>1.2830218458412175</v>
      </c>
      <c r="I38" s="72"/>
      <c r="J38" s="46">
        <f>SUM(J10,J17,J24,J31)</f>
        <v>419.5901008606491</v>
      </c>
      <c r="K38" s="83">
        <f>F38*(H38)</f>
        <v>7.1543286848235382E-2</v>
      </c>
      <c r="L38" s="84"/>
      <c r="N38" s="138">
        <f>B38-'Table 3.15-Route UAA NoPARS'!B38-'Table 3.16-Route UAA PARS'!B38</f>
        <v>0</v>
      </c>
      <c r="O38" s="138">
        <f>C38-'Table 3.15-Route UAA NoPARS'!C38-'Table 3.16-Route UAA PARS'!C38</f>
        <v>0</v>
      </c>
      <c r="P38" s="138">
        <f>D38-'Table 3.15-Route UAA NoPARS'!D38-'Table 3.16-Route UAA PARS'!D38</f>
        <v>0</v>
      </c>
    </row>
    <row r="39" spans="1:17" x14ac:dyDescent="0.6">
      <c r="A39" s="338" t="s">
        <v>102</v>
      </c>
      <c r="B39" s="135">
        <f>SUM(B35:B38)</f>
        <v>2078.681306519843</v>
      </c>
      <c r="C39" s="46">
        <f>SUM(C35:C38)</f>
        <v>72068.795650642031</v>
      </c>
      <c r="D39" s="135">
        <f>SUM(D35:D38)</f>
        <v>1384191.7681808304</v>
      </c>
      <c r="E39" s="135"/>
      <c r="F39" s="83"/>
      <c r="G39" s="159"/>
      <c r="H39" s="54"/>
      <c r="I39" s="72"/>
      <c r="J39" s="46">
        <f>SUM(J35:J38)</f>
        <v>99698.101658868924</v>
      </c>
      <c r="K39" s="83">
        <f>SUMPRODUCT(K35:K38,D35:D38)/D39</f>
        <v>7.2026220608071415E-2</v>
      </c>
      <c r="L39" s="84"/>
      <c r="N39" s="138">
        <f>B39-'Table 3.15-Route UAA NoPARS'!B39-'Table 3.16-Route UAA PARS'!B39</f>
        <v>0</v>
      </c>
      <c r="O39" s="138">
        <f>C39-'Table 3.15-Route UAA NoPARS'!C39-'Table 3.16-Route UAA PARS'!C39</f>
        <v>0</v>
      </c>
      <c r="P39" s="138">
        <f>D39-'Table 3.15-Route UAA NoPARS'!D39-'Table 3.16-Route UAA PARS'!D39</f>
        <v>0</v>
      </c>
    </row>
    <row r="40" spans="1:17" ht="5.15" customHeight="1" x14ac:dyDescent="0.6">
      <c r="A40" s="81"/>
      <c r="B40" s="135"/>
      <c r="C40" s="46"/>
      <c r="D40" s="135"/>
      <c r="E40" s="135"/>
      <c r="F40" s="83"/>
      <c r="G40" s="159"/>
      <c r="H40" s="54"/>
      <c r="I40" s="72"/>
      <c r="J40" s="46"/>
      <c r="K40" s="83"/>
      <c r="L40" s="84"/>
    </row>
    <row r="41" spans="1:17" x14ac:dyDescent="0.6">
      <c r="A41" s="81"/>
      <c r="B41" s="135"/>
      <c r="C41" s="46"/>
      <c r="D41" s="135"/>
      <c r="E41" s="135"/>
      <c r="F41" s="83"/>
      <c r="G41" s="159"/>
      <c r="H41" s="54"/>
      <c r="I41" s="72"/>
      <c r="J41" s="46"/>
      <c r="K41" s="83"/>
      <c r="L41" s="84"/>
    </row>
    <row r="42" spans="1:17" ht="15.5" x14ac:dyDescent="0.7">
      <c r="A42" s="158" t="s">
        <v>63</v>
      </c>
      <c r="L42" s="84"/>
    </row>
    <row r="43" spans="1:17" ht="15.5" x14ac:dyDescent="0.7">
      <c r="A43" s="158" t="s">
        <v>787</v>
      </c>
      <c r="L43" s="84"/>
    </row>
    <row r="44" spans="1:17" ht="26" x14ac:dyDescent="0.6">
      <c r="A44" s="4"/>
      <c r="B44" s="189" t="s">
        <v>248</v>
      </c>
      <c r="C44" s="146" t="s">
        <v>249</v>
      </c>
      <c r="D44" s="168" t="s">
        <v>250</v>
      </c>
      <c r="E44" s="168"/>
      <c r="F44" s="169" t="s">
        <v>207</v>
      </c>
      <c r="G44" s="159"/>
      <c r="H44" s="190" t="s">
        <v>246</v>
      </c>
      <c r="I44" s="159"/>
      <c r="J44" s="189" t="s">
        <v>110</v>
      </c>
      <c r="K44" s="41" t="s">
        <v>133</v>
      </c>
      <c r="L44" s="84"/>
    </row>
    <row r="45" spans="1:17" x14ac:dyDescent="0.6">
      <c r="A45" s="15" t="s">
        <v>385</v>
      </c>
      <c r="B45" s="135"/>
      <c r="C45" s="46"/>
      <c r="D45" s="135"/>
      <c r="E45" s="135"/>
      <c r="F45" s="83"/>
      <c r="G45" s="159"/>
      <c r="H45" s="54"/>
      <c r="I45" s="72"/>
      <c r="J45" s="46"/>
      <c r="K45" s="83"/>
      <c r="L45" s="84"/>
    </row>
    <row r="46" spans="1:17" ht="5.15" customHeight="1" x14ac:dyDescent="0.6">
      <c r="A46" s="81"/>
      <c r="B46" s="135"/>
      <c r="C46" s="46"/>
      <c r="D46" s="135"/>
      <c r="E46" s="135"/>
      <c r="F46" s="83"/>
      <c r="G46" s="159"/>
      <c r="H46" s="54"/>
      <c r="I46" s="72"/>
      <c r="J46" s="46"/>
      <c r="K46" s="83"/>
      <c r="L46" s="84"/>
    </row>
    <row r="47" spans="1:17" x14ac:dyDescent="0.6">
      <c r="A47" s="89" t="s">
        <v>386</v>
      </c>
      <c r="B47" s="135"/>
      <c r="C47" s="46"/>
      <c r="D47" s="135"/>
      <c r="E47" s="135"/>
      <c r="F47" s="41"/>
      <c r="G47" s="159"/>
      <c r="H47" s="54"/>
      <c r="I47" s="72"/>
      <c r="J47" s="42"/>
      <c r="K47" s="41"/>
      <c r="L47" s="84"/>
    </row>
    <row r="48" spans="1:17" x14ac:dyDescent="0.6">
      <c r="A48" s="337" t="s">
        <v>135</v>
      </c>
      <c r="B48" s="135">
        <v>55.487970536780246</v>
      </c>
      <c r="C48" s="46">
        <v>2654.2710793530246</v>
      </c>
      <c r="D48" s="135">
        <v>43225.170729032099</v>
      </c>
      <c r="E48" s="135"/>
      <c r="F48" s="83">
        <f>C48/D48</f>
        <v>6.1405681795729465E-2</v>
      </c>
      <c r="G48" s="159"/>
      <c r="H48" s="54">
        <v>1.3820275853954722</v>
      </c>
      <c r="I48" s="72"/>
      <c r="J48" s="46">
        <f>C48*H48</f>
        <v>3668.2758507832946</v>
      </c>
      <c r="K48" s="83">
        <f>F48*(H48)</f>
        <v>8.4864346141714703E-2</v>
      </c>
      <c r="L48" s="84"/>
      <c r="N48" s="138">
        <f>B48-'Table 3.15-Route UAA NoPARS'!B48-'Table 3.16-Route UAA PARS'!B48</f>
        <v>0</v>
      </c>
      <c r="O48" s="138">
        <f>C48-'Table 3.15-Route UAA NoPARS'!C48-'Table 3.16-Route UAA PARS'!C48</f>
        <v>0</v>
      </c>
      <c r="P48" s="138">
        <f>D48-'Table 3.15-Route UAA NoPARS'!D48-'Table 3.16-Route UAA PARS'!D48</f>
        <v>0</v>
      </c>
      <c r="Q48" s="138">
        <f>J48-'Table 3.15-Route UAA NoPARS'!J48-'Table 3.16-Route UAA PARS'!J48</f>
        <v>0</v>
      </c>
    </row>
    <row r="49" spans="1:17" x14ac:dyDescent="0.6">
      <c r="A49" s="338" t="s">
        <v>136</v>
      </c>
      <c r="B49" s="135">
        <v>15.123143666935443</v>
      </c>
      <c r="C49" s="46">
        <v>609.50866465018055</v>
      </c>
      <c r="D49" s="135">
        <v>19352.836770567956</v>
      </c>
      <c r="E49" s="135"/>
      <c r="F49" s="83">
        <f>C49/D49</f>
        <v>3.1494538597934607E-2</v>
      </c>
      <c r="G49" s="159"/>
      <c r="H49" s="54">
        <v>1.2830218458412175</v>
      </c>
      <c r="I49" s="72"/>
      <c r="J49" s="46">
        <f>C49*H49</f>
        <v>782.01293197569032</v>
      </c>
      <c r="K49" s="83">
        <f>F49*(H49)</f>
        <v>4.0408181045839528E-2</v>
      </c>
      <c r="L49" s="84"/>
      <c r="N49" s="138">
        <f>B49-'Table 3.15-Route UAA NoPARS'!B49-'Table 3.16-Route UAA PARS'!B49</f>
        <v>0</v>
      </c>
      <c r="O49" s="138">
        <f>C49-'Table 3.15-Route UAA NoPARS'!C49-'Table 3.16-Route UAA PARS'!C49</f>
        <v>0</v>
      </c>
      <c r="P49" s="138">
        <f>D49-'Table 3.15-Route UAA NoPARS'!D49-'Table 3.16-Route UAA PARS'!D49</f>
        <v>0</v>
      </c>
      <c r="Q49" s="138">
        <f>J49-'Table 3.15-Route UAA NoPARS'!J49-'Table 3.16-Route UAA PARS'!J49</f>
        <v>0</v>
      </c>
    </row>
    <row r="50" spans="1:17" x14ac:dyDescent="0.6">
      <c r="A50" s="337" t="s">
        <v>137</v>
      </c>
      <c r="B50" s="53">
        <v>6.8270256281558828</v>
      </c>
      <c r="C50" s="46">
        <v>446.73615718586564</v>
      </c>
      <c r="D50" s="53">
        <v>7110.3057749025411</v>
      </c>
      <c r="E50" s="135"/>
      <c r="F50" s="83">
        <f>C50/D50</f>
        <v>6.2829387557807093E-2</v>
      </c>
      <c r="G50" s="159"/>
      <c r="H50" s="54">
        <v>1.5107753644979616</v>
      </c>
      <c r="I50" s="72"/>
      <c r="J50" s="46">
        <f>C50*H50</f>
        <v>674.91798070689481</v>
      </c>
      <c r="K50" s="83">
        <f>F50*(H50)</f>
        <v>9.4921090888829704E-2</v>
      </c>
      <c r="L50" s="84"/>
      <c r="N50" s="138">
        <f>B50-'Table 3.15-Route UAA NoPARS'!B50-'Table 3.16-Route UAA PARS'!B50</f>
        <v>0</v>
      </c>
      <c r="O50" s="138">
        <f>C50-'Table 3.15-Route UAA NoPARS'!C50-'Table 3.16-Route UAA PARS'!C50</f>
        <v>0</v>
      </c>
      <c r="P50" s="138">
        <f>D50-'Table 3.15-Route UAA NoPARS'!D50-'Table 3.16-Route UAA PARS'!D50</f>
        <v>0</v>
      </c>
      <c r="Q50" s="138">
        <f>J50-'Table 3.15-Route UAA NoPARS'!J50-'Table 3.16-Route UAA PARS'!J50</f>
        <v>0</v>
      </c>
    </row>
    <row r="51" spans="1:17" x14ac:dyDescent="0.6">
      <c r="A51" s="337" t="s">
        <v>107</v>
      </c>
      <c r="B51" s="53">
        <v>0.35225598113696349</v>
      </c>
      <c r="C51" s="46">
        <v>13.743126201666175</v>
      </c>
      <c r="D51" s="53">
        <v>438.54910998747943</v>
      </c>
      <c r="E51" s="135"/>
      <c r="F51" s="83">
        <f>C51/D51</f>
        <v>3.1337713128772607E-2</v>
      </c>
      <c r="G51" s="159"/>
      <c r="H51" s="54">
        <v>1.2830218458412175</v>
      </c>
      <c r="I51" s="72"/>
      <c r="J51" s="46">
        <f>C51*H51</f>
        <v>17.632731146890535</v>
      </c>
      <c r="K51" s="83">
        <f>F51*(H51)</f>
        <v>4.0206970542920384E-2</v>
      </c>
      <c r="L51" s="84"/>
      <c r="N51" s="138">
        <f>B51-'Table 3.15-Route UAA NoPARS'!B51-'Table 3.16-Route UAA PARS'!B51</f>
        <v>0</v>
      </c>
      <c r="O51" s="138">
        <f>C51-'Table 3.15-Route UAA NoPARS'!C51-'Table 3.16-Route UAA PARS'!C51</f>
        <v>0</v>
      </c>
      <c r="P51" s="138">
        <f>D51-'Table 3.15-Route UAA NoPARS'!D51-'Table 3.16-Route UAA PARS'!D51</f>
        <v>0</v>
      </c>
      <c r="Q51" s="138">
        <f>J51-'Table 3.15-Route UAA NoPARS'!J51-'Table 3.16-Route UAA PARS'!J51</f>
        <v>0</v>
      </c>
    </row>
    <row r="52" spans="1:17" x14ac:dyDescent="0.6">
      <c r="A52" s="337" t="s">
        <v>277</v>
      </c>
      <c r="B52" s="53">
        <f>SUM(B48:B51)</f>
        <v>77.79039581300853</v>
      </c>
      <c r="C52" s="46">
        <f>SUM(C48:C51)</f>
        <v>3724.2590273907367</v>
      </c>
      <c r="D52" s="53">
        <f>SUM(D48:D51)</f>
        <v>70126.862384490072</v>
      </c>
      <c r="E52" s="135"/>
      <c r="F52" s="41"/>
      <c r="G52" s="159"/>
      <c r="H52" s="54"/>
      <c r="I52" s="72"/>
      <c r="J52" s="46">
        <f>SUM(J48:J51)</f>
        <v>5142.8394946127701</v>
      </c>
      <c r="K52" s="83">
        <f>SUMPRODUCT(K48:K51,D48:D51)/D52</f>
        <v>7.3336226942761512E-2</v>
      </c>
      <c r="L52" s="84"/>
      <c r="N52" s="138">
        <f>B52-'Table 3.15-Route UAA NoPARS'!B52-'Table 3.16-Route UAA PARS'!B52</f>
        <v>0</v>
      </c>
      <c r="O52" s="138">
        <f>C52-'Table 3.15-Route UAA NoPARS'!C52-'Table 3.16-Route UAA PARS'!C52</f>
        <v>0</v>
      </c>
      <c r="P52" s="138">
        <f>D52-'Table 3.15-Route UAA NoPARS'!D52-'Table 3.16-Route UAA PARS'!D52</f>
        <v>0</v>
      </c>
      <c r="Q52" s="138">
        <f>J52-'Table 3.15-Route UAA NoPARS'!J52-'Table 3.16-Route UAA PARS'!J52</f>
        <v>0</v>
      </c>
    </row>
    <row r="53" spans="1:17" x14ac:dyDescent="0.6">
      <c r="A53" s="21"/>
      <c r="B53" s="135"/>
      <c r="C53" s="135"/>
      <c r="D53" s="135"/>
      <c r="E53" s="135"/>
      <c r="F53" s="83"/>
      <c r="G53" s="159"/>
      <c r="H53" s="54"/>
      <c r="I53" s="72"/>
      <c r="J53" s="46"/>
      <c r="K53" s="83"/>
      <c r="L53" s="84"/>
    </row>
    <row r="54" spans="1:17" ht="5.15" customHeight="1" x14ac:dyDescent="0.6">
      <c r="B54" s="57"/>
      <c r="C54" s="57"/>
      <c r="D54" s="57"/>
      <c r="E54" s="40"/>
      <c r="F54" s="41"/>
      <c r="G54" s="159"/>
      <c r="H54" s="54"/>
      <c r="I54" s="72"/>
      <c r="J54" s="42"/>
      <c r="K54" s="41"/>
    </row>
    <row r="55" spans="1:17" x14ac:dyDescent="0.6">
      <c r="A55" s="89" t="s">
        <v>387</v>
      </c>
      <c r="B55" s="57"/>
      <c r="C55" s="57"/>
      <c r="D55" s="57"/>
      <c r="E55" s="40"/>
      <c r="F55" s="41"/>
      <c r="G55" s="159"/>
      <c r="H55" s="54"/>
      <c r="I55" s="72"/>
      <c r="J55" s="42"/>
      <c r="K55" s="41"/>
    </row>
    <row r="56" spans="1:17" x14ac:dyDescent="0.6">
      <c r="A56" s="337" t="s">
        <v>135</v>
      </c>
      <c r="B56" s="135">
        <v>29.74661400642491</v>
      </c>
      <c r="C56" s="46">
        <v>1407.322496081996</v>
      </c>
      <c r="D56" s="135">
        <v>25096.539956404566</v>
      </c>
      <c r="E56" s="135"/>
      <c r="F56" s="83">
        <f>C56/D56</f>
        <v>5.6076355486719243E-2</v>
      </c>
      <c r="G56" s="159"/>
      <c r="H56" s="54">
        <v>1.3820275853954722</v>
      </c>
      <c r="I56" s="72"/>
      <c r="J56" s="46">
        <f>C56*H56</f>
        <v>1944.9585111329297</v>
      </c>
      <c r="K56" s="83">
        <f>F56*(H56)</f>
        <v>7.749907017108873E-2</v>
      </c>
      <c r="N56" s="138">
        <f>B56-'Table 3.15-Route UAA NoPARS'!B56-'Table 3.16-Route UAA PARS'!B56</f>
        <v>0</v>
      </c>
      <c r="O56" s="138">
        <f>C56-'Table 3.15-Route UAA NoPARS'!C56-'Table 3.16-Route UAA PARS'!C56</f>
        <v>0</v>
      </c>
      <c r="P56" s="138">
        <f>D56-'Table 3.15-Route UAA NoPARS'!D56-'Table 3.16-Route UAA PARS'!D56</f>
        <v>0</v>
      </c>
      <c r="Q56" s="138">
        <f>J56-'Table 3.15-Route UAA NoPARS'!J56-'Table 3.16-Route UAA PARS'!J56</f>
        <v>0</v>
      </c>
    </row>
    <row r="57" spans="1:17" x14ac:dyDescent="0.6">
      <c r="A57" s="338" t="s">
        <v>136</v>
      </c>
      <c r="B57" s="135">
        <v>12.06632378937201</v>
      </c>
      <c r="C57" s="46">
        <v>495.3688384586888</v>
      </c>
      <c r="D57" s="135">
        <v>11953.653740861457</v>
      </c>
      <c r="E57" s="135"/>
      <c r="F57" s="83">
        <f>C57/D57</f>
        <v>4.1440788665758135E-2</v>
      </c>
      <c r="G57" s="159"/>
      <c r="H57" s="54">
        <v>1.2830218458412175</v>
      </c>
      <c r="I57" s="72"/>
      <c r="J57" s="46">
        <f>C57*H57</f>
        <v>635.56904149148681</v>
      </c>
      <c r="K57" s="83">
        <f>F57*(H57)</f>
        <v>5.3169437167056806E-2</v>
      </c>
      <c r="N57" s="138">
        <f>B57-'Table 3.15-Route UAA NoPARS'!B57-'Table 3.16-Route UAA PARS'!B57</f>
        <v>1.7763568394002505E-15</v>
      </c>
      <c r="O57" s="138">
        <f>C57-'Table 3.15-Route UAA NoPARS'!C57-'Table 3.16-Route UAA PARS'!C57</f>
        <v>0</v>
      </c>
      <c r="P57" s="138">
        <f>D57-'Table 3.15-Route UAA NoPARS'!D57-'Table 3.16-Route UAA PARS'!D57</f>
        <v>0</v>
      </c>
      <c r="Q57" s="138">
        <f>J57-'Table 3.15-Route UAA NoPARS'!J57-'Table 3.16-Route UAA PARS'!J57</f>
        <v>0</v>
      </c>
    </row>
    <row r="58" spans="1:17" x14ac:dyDescent="0.6">
      <c r="A58" s="337" t="s">
        <v>137</v>
      </c>
      <c r="B58" s="53">
        <v>3.603796313031586</v>
      </c>
      <c r="C58" s="46">
        <v>117.09143084455079</v>
      </c>
      <c r="D58" s="53">
        <v>3692.4780041768377</v>
      </c>
      <c r="E58" s="135"/>
      <c r="F58" s="83">
        <f>C58/D58</f>
        <v>3.1710799823885187E-2</v>
      </c>
      <c r="G58" s="159"/>
      <c r="H58" s="54">
        <v>1.5107753644979616</v>
      </c>
      <c r="I58" s="72"/>
      <c r="J58" s="46">
        <f>C58*H58</f>
        <v>176.89884911376407</v>
      </c>
      <c r="K58" s="83">
        <f>F58*(H58)</f>
        <v>4.7907895162452037E-2</v>
      </c>
      <c r="N58" s="138">
        <f>B58-'Table 3.15-Route UAA NoPARS'!B58-'Table 3.16-Route UAA PARS'!B58</f>
        <v>0</v>
      </c>
      <c r="O58" s="138">
        <f>C58-'Table 3.15-Route UAA NoPARS'!C58-'Table 3.16-Route UAA PARS'!C58</f>
        <v>0</v>
      </c>
      <c r="P58" s="138">
        <f>D58-'Table 3.15-Route UAA NoPARS'!D58-'Table 3.16-Route UAA PARS'!D58</f>
        <v>0</v>
      </c>
      <c r="Q58" s="138">
        <f>J58-'Table 3.15-Route UAA NoPARS'!J58-'Table 3.16-Route UAA PARS'!J58</f>
        <v>0</v>
      </c>
    </row>
    <row r="59" spans="1:17" x14ac:dyDescent="0.6">
      <c r="A59" s="337" t="s">
        <v>107</v>
      </c>
      <c r="B59" s="53">
        <v>2.5162787244317274E-2</v>
      </c>
      <c r="C59" s="46">
        <v>0.98171607922214066</v>
      </c>
      <c r="D59" s="53">
        <v>54.56495722016075</v>
      </c>
      <c r="E59" s="135"/>
      <c r="F59" s="83">
        <f>C59/D59</f>
        <v>1.7991695205790699E-2</v>
      </c>
      <c r="G59" s="159"/>
      <c r="H59" s="54">
        <v>1.2830218458412175</v>
      </c>
      <c r="I59" s="72"/>
      <c r="J59" s="46">
        <f>C59*H59</f>
        <v>1.2595631760555939</v>
      </c>
      <c r="K59" s="83">
        <f>F59*(H59)</f>
        <v>2.3083737992746167E-2</v>
      </c>
      <c r="N59" s="138">
        <f>B59-'Table 3.15-Route UAA NoPARS'!B59-'Table 3.16-Route UAA PARS'!B59</f>
        <v>0</v>
      </c>
      <c r="O59" s="138">
        <f>C59-'Table 3.15-Route UAA NoPARS'!C59-'Table 3.16-Route UAA PARS'!C59</f>
        <v>0</v>
      </c>
      <c r="P59" s="138">
        <f>D59-'Table 3.15-Route UAA NoPARS'!D59-'Table 3.16-Route UAA PARS'!D59</f>
        <v>0</v>
      </c>
      <c r="Q59" s="138">
        <f>J59-'Table 3.15-Route UAA NoPARS'!J59-'Table 3.16-Route UAA PARS'!J59</f>
        <v>0</v>
      </c>
    </row>
    <row r="60" spans="1:17" x14ac:dyDescent="0.6">
      <c r="A60" s="337" t="s">
        <v>277</v>
      </c>
      <c r="B60" s="53">
        <f>SUM(B56:B59)</f>
        <v>45.441896896072826</v>
      </c>
      <c r="C60" s="46">
        <f>SUM(C56:C59)</f>
        <v>2020.7644814644577</v>
      </c>
      <c r="D60" s="53">
        <f>SUM(D56:D59)</f>
        <v>40797.236658663016</v>
      </c>
      <c r="E60" s="135"/>
      <c r="F60" s="41"/>
      <c r="G60" s="159"/>
      <c r="H60" s="54"/>
      <c r="I60" s="72"/>
      <c r="J60" s="46">
        <f>SUM(J56:J59)</f>
        <v>2758.6859649142366</v>
      </c>
      <c r="K60" s="83">
        <f>SUMPRODUCT(K56:K59,D56:D59)/D60</f>
        <v>6.7619431874645058E-2</v>
      </c>
      <c r="N60" s="138">
        <f>B60-'Table 3.15-Route UAA NoPARS'!B60-'Table 3.16-Route UAA PARS'!B60</f>
        <v>0</v>
      </c>
      <c r="O60" s="138">
        <f>C60-'Table 3.15-Route UAA NoPARS'!C60-'Table 3.16-Route UAA PARS'!C60</f>
        <v>0</v>
      </c>
      <c r="P60" s="138">
        <f>D60-'Table 3.15-Route UAA NoPARS'!D60-'Table 3.16-Route UAA PARS'!D60</f>
        <v>0</v>
      </c>
      <c r="Q60" s="138">
        <f>J60-'Table 3.15-Route UAA NoPARS'!J60-'Table 3.16-Route UAA PARS'!J60</f>
        <v>0</v>
      </c>
    </row>
    <row r="61" spans="1:17" ht="5.15" customHeight="1" x14ac:dyDescent="0.6">
      <c r="B61" s="135"/>
      <c r="C61" s="135"/>
      <c r="D61" s="135"/>
      <c r="E61" s="135"/>
      <c r="F61" s="41"/>
      <c r="G61" s="159"/>
      <c r="H61" s="54"/>
      <c r="I61" s="72"/>
      <c r="J61" s="42"/>
      <c r="K61" s="41"/>
    </row>
    <row r="62" spans="1:17" x14ac:dyDescent="0.6">
      <c r="A62" s="89" t="s">
        <v>388</v>
      </c>
      <c r="B62" s="11"/>
      <c r="C62" s="11"/>
      <c r="D62" s="11"/>
      <c r="E62" s="11"/>
      <c r="F62" s="11"/>
      <c r="G62" s="11"/>
      <c r="I62" s="11"/>
      <c r="J62" s="11"/>
      <c r="K62" s="11"/>
    </row>
    <row r="63" spans="1:17" x14ac:dyDescent="0.6">
      <c r="A63" s="337" t="s">
        <v>135</v>
      </c>
      <c r="B63" s="135">
        <v>39.276990530070407</v>
      </c>
      <c r="C63" s="46">
        <v>1721.2413833413329</v>
      </c>
      <c r="D63" s="135">
        <v>32631.483192321211</v>
      </c>
      <c r="E63" s="11"/>
      <c r="F63" s="83">
        <f>C63/D63</f>
        <v>5.2747874596958948E-2</v>
      </c>
      <c r="G63" s="11"/>
      <c r="H63" s="54">
        <v>1.3820275853954722</v>
      </c>
      <c r="I63" s="11"/>
      <c r="J63" s="46">
        <f>C63*H63</f>
        <v>2378.8030729019847</v>
      </c>
      <c r="K63" s="83">
        <f>F63*(H63)</f>
        <v>7.2899017763978335E-2</v>
      </c>
      <c r="N63" s="138">
        <f>B63-'Table 3.15-Route UAA NoPARS'!B63-'Table 3.16-Route UAA PARS'!B63</f>
        <v>0</v>
      </c>
      <c r="O63" s="138">
        <f>C63-'Table 3.15-Route UAA NoPARS'!C63-'Table 3.16-Route UAA PARS'!C63</f>
        <v>0</v>
      </c>
      <c r="P63" s="138">
        <f>D63-'Table 3.15-Route UAA NoPARS'!D63-'Table 3.16-Route UAA PARS'!D63</f>
        <v>0</v>
      </c>
      <c r="Q63" s="138">
        <f>J63-'Table 3.15-Route UAA NoPARS'!J63-'Table 3.16-Route UAA PARS'!J63</f>
        <v>0</v>
      </c>
    </row>
    <row r="64" spans="1:17" x14ac:dyDescent="0.6">
      <c r="A64" s="338" t="s">
        <v>136</v>
      </c>
      <c r="B64" s="135">
        <v>16.138568044513946</v>
      </c>
      <c r="C64" s="46">
        <v>709.31843333365737</v>
      </c>
      <c r="D64" s="135">
        <v>15479.37118201458</v>
      </c>
      <c r="E64" s="11"/>
      <c r="F64" s="83">
        <f>C64/D64</f>
        <v>4.5823465630038744E-2</v>
      </c>
      <c r="G64" s="11"/>
      <c r="H64" s="54">
        <v>1.2830218458412175</v>
      </c>
      <c r="I64" s="11"/>
      <c r="J64" s="46">
        <f>C64*H64</f>
        <v>910.07104562494965</v>
      </c>
      <c r="K64" s="83">
        <f>F64*(H64)</f>
        <v>5.87925074554939E-2</v>
      </c>
      <c r="N64" s="138">
        <f>B64-'Table 3.15-Route UAA NoPARS'!B64-'Table 3.16-Route UAA PARS'!B64</f>
        <v>2.4424906541753444E-15</v>
      </c>
      <c r="O64" s="138">
        <f>C64-'Table 3.15-Route UAA NoPARS'!C64-'Table 3.16-Route UAA PARS'!C64</f>
        <v>0</v>
      </c>
      <c r="P64" s="138">
        <f>D64-'Table 3.15-Route UAA NoPARS'!D64-'Table 3.16-Route UAA PARS'!D64</f>
        <v>0</v>
      </c>
      <c r="Q64" s="138">
        <f>J64-'Table 3.15-Route UAA NoPARS'!J64-'Table 3.16-Route UAA PARS'!J64</f>
        <v>0</v>
      </c>
    </row>
    <row r="65" spans="1:17" x14ac:dyDescent="0.6">
      <c r="A65" s="337" t="s">
        <v>137</v>
      </c>
      <c r="B65" s="53">
        <v>10.271760966173918</v>
      </c>
      <c r="C65" s="46">
        <v>1071.4279577867151</v>
      </c>
      <c r="D65" s="53">
        <v>6380.8655151095118</v>
      </c>
      <c r="E65" s="11"/>
      <c r="F65" s="83">
        <f>C65/D65</f>
        <v>0.16791263743917453</v>
      </c>
      <c r="G65" s="11"/>
      <c r="H65" s="54">
        <v>1.5107753644979616</v>
      </c>
      <c r="I65" s="11"/>
      <c r="J65" s="46">
        <f>C65*H65</f>
        <v>1618.686963458531</v>
      </c>
      <c r="K65" s="83">
        <f>F65*(H65)</f>
        <v>0.25367827603098297</v>
      </c>
      <c r="N65" s="138">
        <f>B65-'Table 3.15-Route UAA NoPARS'!B65-'Table 3.16-Route UAA PARS'!B65</f>
        <v>0</v>
      </c>
      <c r="O65" s="138">
        <f>C65-'Table 3.15-Route UAA NoPARS'!C65-'Table 3.16-Route UAA PARS'!C65</f>
        <v>0</v>
      </c>
      <c r="P65" s="138">
        <f>D65-'Table 3.15-Route UAA NoPARS'!D65-'Table 3.16-Route UAA PARS'!D65</f>
        <v>0</v>
      </c>
      <c r="Q65" s="138">
        <f>J65-'Table 3.15-Route UAA NoPARS'!J65-'Table 3.16-Route UAA PARS'!J65</f>
        <v>-1.9184653865522705E-13</v>
      </c>
    </row>
    <row r="66" spans="1:17" x14ac:dyDescent="0.6">
      <c r="A66" s="337" t="s">
        <v>107</v>
      </c>
      <c r="B66" s="53">
        <v>0.37869279099419523</v>
      </c>
      <c r="C66" s="46">
        <v>14.774547763522127</v>
      </c>
      <c r="D66" s="53">
        <v>394.92932786548766</v>
      </c>
      <c r="E66" s="11"/>
      <c r="F66" s="83">
        <f>C66/D66</f>
        <v>3.7410611775467624E-2</v>
      </c>
      <c r="G66" s="11"/>
      <c r="H66" s="54">
        <v>1.2830218458412175</v>
      </c>
      <c r="I66" s="11"/>
      <c r="J66" s="46">
        <f>C66*H66</f>
        <v>18.956067543023391</v>
      </c>
      <c r="K66" s="83">
        <f>F66*(H66)</f>
        <v>4.799863217420966E-2</v>
      </c>
      <c r="N66" s="138">
        <f>B66-'Table 3.15-Route UAA NoPARS'!B66-'Table 3.16-Route UAA PARS'!B66</f>
        <v>0</v>
      </c>
      <c r="O66" s="138">
        <f>C66-'Table 3.15-Route UAA NoPARS'!C66-'Table 3.16-Route UAA PARS'!C66</f>
        <v>0</v>
      </c>
      <c r="P66" s="138">
        <f>D66-'Table 3.15-Route UAA NoPARS'!D66-'Table 3.16-Route UAA PARS'!D66</f>
        <v>0</v>
      </c>
      <c r="Q66" s="138">
        <f>J66-'Table 3.15-Route UAA NoPARS'!J66-'Table 3.16-Route UAA PARS'!J66</f>
        <v>0</v>
      </c>
    </row>
    <row r="67" spans="1:17" x14ac:dyDescent="0.6">
      <c r="A67" s="337" t="s">
        <v>277</v>
      </c>
      <c r="B67" s="53">
        <f>SUM(B63:B66)</f>
        <v>66.066012331752461</v>
      </c>
      <c r="C67" s="46">
        <f>SUM(C63:C66)</f>
        <v>3516.7623222252278</v>
      </c>
      <c r="D67" s="53">
        <f>SUM(D63:D66)</f>
        <v>54886.649217310791</v>
      </c>
      <c r="E67" s="11"/>
      <c r="F67" s="11"/>
      <c r="G67" s="11"/>
      <c r="I67" s="11"/>
      <c r="J67" s="46">
        <f>SUM(J63:J66)</f>
        <v>4926.5171495284885</v>
      </c>
      <c r="K67" s="83">
        <f>SUMPRODUCT(K63:K66,D63:D66)/D67</f>
        <v>8.9758023486241623E-2</v>
      </c>
      <c r="N67" s="138">
        <f>B67-'Table 3.15-Route UAA NoPARS'!B67-'Table 3.16-Route UAA PARS'!B67</f>
        <v>0</v>
      </c>
      <c r="O67" s="138">
        <f>C67-'Table 3.15-Route UAA NoPARS'!C67-'Table 3.16-Route UAA PARS'!C67</f>
        <v>0</v>
      </c>
      <c r="P67" s="138">
        <f>D67-'Table 3.15-Route UAA NoPARS'!D67-'Table 3.16-Route UAA PARS'!D67</f>
        <v>8.1854523159563541E-12</v>
      </c>
      <c r="Q67" s="138">
        <f>J67-'Table 3.15-Route UAA NoPARS'!J67-'Table 3.16-Route UAA PARS'!J67</f>
        <v>0</v>
      </c>
    </row>
    <row r="68" spans="1:17" ht="5.15" customHeight="1" x14ac:dyDescent="0.6">
      <c r="A68" s="21"/>
      <c r="B68" s="135"/>
      <c r="C68" s="46"/>
      <c r="D68" s="135"/>
      <c r="E68" s="135"/>
      <c r="F68" s="41"/>
      <c r="G68" s="159"/>
      <c r="H68" s="54"/>
      <c r="I68" s="72"/>
      <c r="J68" s="42"/>
      <c r="K68" s="41"/>
    </row>
    <row r="69" spans="1:17" ht="12.75" customHeight="1" x14ac:dyDescent="0.6">
      <c r="A69" s="89" t="s">
        <v>389</v>
      </c>
      <c r="B69" s="135"/>
      <c r="C69" s="46"/>
      <c r="D69" s="135"/>
      <c r="E69" s="135"/>
      <c r="F69" s="83"/>
      <c r="G69" s="159"/>
      <c r="H69" s="54"/>
      <c r="I69" s="72"/>
      <c r="J69" s="46"/>
      <c r="K69" s="83"/>
    </row>
    <row r="70" spans="1:17" ht="12.75" customHeight="1" x14ac:dyDescent="0.6">
      <c r="A70" s="337" t="s">
        <v>135</v>
      </c>
      <c r="B70" s="135">
        <f t="shared" ref="B70:D73" si="1">SUM(B48,B56,B63)</f>
        <v>124.51157507327557</v>
      </c>
      <c r="C70" s="46">
        <f t="shared" si="1"/>
        <v>5782.8349587763532</v>
      </c>
      <c r="D70" s="135">
        <f t="shared" si="1"/>
        <v>100953.19387775788</v>
      </c>
      <c r="E70" s="135"/>
      <c r="F70" s="83">
        <f>C70/D70</f>
        <v>5.7282337850337532E-2</v>
      </c>
      <c r="G70" s="159"/>
      <c r="H70" s="54">
        <v>1.3820275853954722</v>
      </c>
      <c r="I70" s="72"/>
      <c r="J70" s="46">
        <f>C70*H70</f>
        <v>7992.0374348182086</v>
      </c>
      <c r="K70" s="83">
        <f>F70*(H70)</f>
        <v>7.916577106510965E-2</v>
      </c>
      <c r="N70" s="138">
        <f>B70-'Table 3.15-Route UAA NoPARS'!B70-'Table 3.16-Route UAA PARS'!B70</f>
        <v>0</v>
      </c>
      <c r="O70" s="138">
        <f>C70-'Table 3.15-Route UAA NoPARS'!C70-'Table 3.16-Route UAA PARS'!C70</f>
        <v>0</v>
      </c>
      <c r="P70" s="138">
        <f>D70-'Table 3.15-Route UAA NoPARS'!D70-'Table 3.16-Route UAA PARS'!D70</f>
        <v>0</v>
      </c>
      <c r="Q70" s="138">
        <f>J70-'Table 3.15-Route UAA NoPARS'!J70-'Table 3.16-Route UAA PARS'!J70</f>
        <v>0</v>
      </c>
    </row>
    <row r="71" spans="1:17" ht="12.75" customHeight="1" x14ac:dyDescent="0.6">
      <c r="A71" s="338" t="s">
        <v>136</v>
      </c>
      <c r="B71" s="135">
        <f t="shared" si="1"/>
        <v>43.3280355008214</v>
      </c>
      <c r="C71" s="46">
        <f t="shared" si="1"/>
        <v>1814.1959364425268</v>
      </c>
      <c r="D71" s="135">
        <f t="shared" si="1"/>
        <v>46785.861693443992</v>
      </c>
      <c r="E71" s="135"/>
      <c r="F71" s="83">
        <f>C71/D71</f>
        <v>3.8776584865097108E-2</v>
      </c>
      <c r="G71" s="159"/>
      <c r="H71" s="54">
        <v>1.2830218458412175</v>
      </c>
      <c r="I71" s="72"/>
      <c r="J71" s="46">
        <f>C71*H71</f>
        <v>2327.6530190921267</v>
      </c>
      <c r="K71" s="83">
        <f>F71*(H71)</f>
        <v>4.9751205489035506E-2</v>
      </c>
      <c r="N71" s="138">
        <f>B71-'Table 3.15-Route UAA NoPARS'!B71-'Table 3.16-Route UAA PARS'!B71</f>
        <v>0</v>
      </c>
      <c r="O71" s="138">
        <f>C71-'Table 3.15-Route UAA NoPARS'!C71-'Table 3.16-Route UAA PARS'!C71</f>
        <v>0</v>
      </c>
      <c r="P71" s="138">
        <f>D71-'Table 3.15-Route UAA NoPARS'!D71-'Table 3.16-Route UAA PARS'!D71</f>
        <v>0</v>
      </c>
      <c r="Q71" s="138">
        <f>J71-'Table 3.15-Route UAA NoPARS'!J71-'Table 3.16-Route UAA PARS'!J71</f>
        <v>0</v>
      </c>
    </row>
    <row r="72" spans="1:17" ht="12.75" customHeight="1" x14ac:dyDescent="0.6">
      <c r="A72" s="337" t="s">
        <v>137</v>
      </c>
      <c r="B72" s="135">
        <f t="shared" si="1"/>
        <v>20.702582907361389</v>
      </c>
      <c r="C72" s="46">
        <f t="shared" si="1"/>
        <v>1635.2555458171314</v>
      </c>
      <c r="D72" s="135">
        <f t="shared" si="1"/>
        <v>17183.64929418889</v>
      </c>
      <c r="E72" s="135"/>
      <c r="F72" s="83">
        <f>C72/D72</f>
        <v>9.5163461370812358E-2</v>
      </c>
      <c r="G72" s="159"/>
      <c r="H72" s="54">
        <v>1.5107753644979616</v>
      </c>
      <c r="I72" s="72"/>
      <c r="J72" s="46">
        <f>C72*H72</f>
        <v>2470.5037932791897</v>
      </c>
      <c r="K72" s="83">
        <f>F72*(H72)</f>
        <v>0.14377061303937672</v>
      </c>
      <c r="N72" s="138">
        <f>B72-'Table 3.15-Route UAA NoPARS'!B72-'Table 3.16-Route UAA PARS'!B72</f>
        <v>0</v>
      </c>
      <c r="O72" s="138">
        <f>C72-'Table 3.15-Route UAA NoPARS'!C72-'Table 3.16-Route UAA PARS'!C72</f>
        <v>-1.7053025658242404E-13</v>
      </c>
      <c r="P72" s="138">
        <f>D72-'Table 3.15-Route UAA NoPARS'!D72-'Table 3.16-Route UAA PARS'!D72</f>
        <v>0</v>
      </c>
      <c r="Q72" s="138">
        <f>J72-'Table 3.15-Route UAA NoPARS'!J72-'Table 3.16-Route UAA PARS'!J72</f>
        <v>-4.8316906031686813E-13</v>
      </c>
    </row>
    <row r="73" spans="1:17" ht="12.75" customHeight="1" x14ac:dyDescent="0.6">
      <c r="A73" s="337" t="s">
        <v>107</v>
      </c>
      <c r="B73" s="135">
        <f t="shared" si="1"/>
        <v>0.75611155937547592</v>
      </c>
      <c r="C73" s="46">
        <f t="shared" si="1"/>
        <v>29.499390044410443</v>
      </c>
      <c r="D73" s="135">
        <f t="shared" si="1"/>
        <v>888.04339507312784</v>
      </c>
      <c r="E73" s="135"/>
      <c r="F73" s="83">
        <f>C73/D73</f>
        <v>3.3218410505695226E-2</v>
      </c>
      <c r="G73" s="159"/>
      <c r="H73" s="54">
        <v>1.2830218458412175</v>
      </c>
      <c r="I73" s="72"/>
      <c r="J73" s="46">
        <f>C73*H73</f>
        <v>37.848361865969522</v>
      </c>
      <c r="K73" s="83">
        <f>F73*(H73)</f>
        <v>4.2619946362928381E-2</v>
      </c>
      <c r="N73" s="138">
        <f>B73-'Table 3.15-Route UAA NoPARS'!B73-'Table 3.16-Route UAA PARS'!B73</f>
        <v>0</v>
      </c>
      <c r="O73" s="138">
        <f>C73-'Table 3.15-Route UAA NoPARS'!C73-'Table 3.16-Route UAA PARS'!C73</f>
        <v>0</v>
      </c>
      <c r="P73" s="138">
        <f>D73-'Table 3.15-Route UAA NoPARS'!D73-'Table 3.16-Route UAA PARS'!D73</f>
        <v>0</v>
      </c>
      <c r="Q73" s="138">
        <f>J73-'Table 3.15-Route UAA NoPARS'!J73-'Table 3.16-Route UAA PARS'!J73</f>
        <v>0</v>
      </c>
    </row>
    <row r="74" spans="1:17" ht="12.75" customHeight="1" x14ac:dyDescent="0.6">
      <c r="A74" s="337" t="s">
        <v>102</v>
      </c>
      <c r="B74" s="135">
        <f>SUM(B70:B73)</f>
        <v>189.29830504083384</v>
      </c>
      <c r="C74" s="46">
        <f>SUM(C70:C73)</f>
        <v>9261.7858310804204</v>
      </c>
      <c r="D74" s="135">
        <f>SUM(D70:D73)</f>
        <v>165810.74826046388</v>
      </c>
      <c r="E74" s="135"/>
      <c r="F74" s="41"/>
      <c r="G74" s="159"/>
      <c r="H74" s="54"/>
      <c r="I74" s="72"/>
      <c r="J74" s="46">
        <f>SUM(J70:J73)</f>
        <v>12828.042609055494</v>
      </c>
      <c r="K74" s="83">
        <f>SUMPRODUCT(K70:K73,D70:D73)/D74</f>
        <v>7.7365567332852034E-2</v>
      </c>
      <c r="N74" s="138">
        <f>B74-'Table 3.15-Route UAA NoPARS'!B74-'Table 3.16-Route UAA PARS'!B74</f>
        <v>0</v>
      </c>
      <c r="O74" s="138">
        <f>C74-'Table 3.15-Route UAA NoPARS'!C74-'Table 3.16-Route UAA PARS'!C74</f>
        <v>0</v>
      </c>
      <c r="P74" s="138">
        <f>D74-'Table 3.15-Route UAA NoPARS'!D74-'Table 3.16-Route UAA PARS'!D74</f>
        <v>0</v>
      </c>
      <c r="Q74" s="138">
        <f>J74-'Table 3.15-Route UAA NoPARS'!J74-'Table 3.16-Route UAA PARS'!J74</f>
        <v>0</v>
      </c>
    </row>
    <row r="75" spans="1:17" ht="5.15" customHeight="1" x14ac:dyDescent="0.6">
      <c r="A75" s="21"/>
      <c r="B75" s="135"/>
      <c r="C75" s="46"/>
      <c r="D75" s="135"/>
      <c r="E75" s="135"/>
      <c r="F75" s="41"/>
      <c r="G75" s="159"/>
      <c r="H75" s="54"/>
      <c r="I75" s="72"/>
      <c r="J75" s="42"/>
      <c r="K75" s="41"/>
    </row>
    <row r="76" spans="1:17" x14ac:dyDescent="0.6">
      <c r="A76" s="81"/>
      <c r="B76" s="135"/>
      <c r="C76" s="46"/>
      <c r="D76" s="135"/>
      <c r="E76" s="135"/>
      <c r="F76" s="83"/>
      <c r="G76" s="159"/>
      <c r="H76" s="54"/>
      <c r="I76" s="72"/>
      <c r="J76" s="46"/>
      <c r="K76" s="83"/>
      <c r="L76" s="84"/>
    </row>
    <row r="77" spans="1:17" x14ac:dyDescent="0.6">
      <c r="A77" s="15" t="s">
        <v>285</v>
      </c>
      <c r="B77" s="48"/>
      <c r="C77" s="42"/>
      <c r="D77" s="40"/>
      <c r="E77" s="40"/>
      <c r="F77" s="41"/>
      <c r="G77" s="159"/>
      <c r="H77" s="54"/>
      <c r="I77" s="72"/>
      <c r="J77" s="42"/>
      <c r="K77" s="41"/>
    </row>
    <row r="78" spans="1:17" x14ac:dyDescent="0.6">
      <c r="A78" s="337" t="s">
        <v>135</v>
      </c>
      <c r="B78" s="135">
        <v>724.48295357694201</v>
      </c>
      <c r="C78" s="46">
        <v>40096.824200283118</v>
      </c>
      <c r="D78" s="135">
        <v>1437453.9139102472</v>
      </c>
      <c r="E78" s="135"/>
      <c r="F78" s="83">
        <f>C78/D78</f>
        <v>2.7894337211277518E-2</v>
      </c>
      <c r="G78" s="159"/>
      <c r="H78" s="54">
        <v>1.3820275853954722</v>
      </c>
      <c r="I78" s="72"/>
      <c r="J78" s="46">
        <f>C78*H78</f>
        <v>55414.917131544011</v>
      </c>
      <c r="K78" s="83">
        <f>F78*(H78)</f>
        <v>3.8550743502308936E-2</v>
      </c>
      <c r="M78" s="63"/>
      <c r="N78" s="138">
        <f>B78-'Table 3.15-Route UAA NoPARS'!B78-'Table 3.16-Route UAA PARS'!B78</f>
        <v>0</v>
      </c>
      <c r="O78" s="138">
        <f>C78-'Table 3.15-Route UAA NoPARS'!C78-'Table 3.16-Route UAA PARS'!C78</f>
        <v>0</v>
      </c>
      <c r="P78" s="138">
        <f>D78-'Table 3.15-Route UAA NoPARS'!D78-'Table 3.16-Route UAA PARS'!D78</f>
        <v>0</v>
      </c>
      <c r="Q78" s="138">
        <f>J78-'Table 3.15-Route UAA NoPARS'!J78-'Table 3.16-Route UAA PARS'!J78</f>
        <v>0</v>
      </c>
    </row>
    <row r="79" spans="1:17" x14ac:dyDescent="0.6">
      <c r="A79" s="338" t="s">
        <v>136</v>
      </c>
      <c r="B79" s="135">
        <v>222.35184597610825</v>
      </c>
      <c r="C79" s="46">
        <v>8338.8868783030048</v>
      </c>
      <c r="D79" s="135">
        <v>515109.04283715831</v>
      </c>
      <c r="E79" s="135"/>
      <c r="F79" s="83">
        <f>C79/D79</f>
        <v>1.6188585687359369E-2</v>
      </c>
      <c r="G79" s="159"/>
      <c r="H79" s="54">
        <v>1.2830218458412175</v>
      </c>
      <c r="I79" s="72"/>
      <c r="J79" s="46">
        <f>C79*H79</f>
        <v>10698.974034861429</v>
      </c>
      <c r="K79" s="83">
        <f>F79*(H79)</f>
        <v>2.0770309090154534E-2</v>
      </c>
      <c r="M79" s="63"/>
      <c r="N79" s="138">
        <f>B79-'Table 3.15-Route UAA NoPARS'!B79-'Table 3.16-Route UAA PARS'!B79</f>
        <v>0</v>
      </c>
      <c r="O79" s="138">
        <f>C79-'Table 3.15-Route UAA NoPARS'!C79-'Table 3.16-Route UAA PARS'!C79</f>
        <v>0</v>
      </c>
      <c r="P79" s="138">
        <f>D79-'Table 3.15-Route UAA NoPARS'!D79-'Table 3.16-Route UAA PARS'!D79</f>
        <v>0</v>
      </c>
      <c r="Q79" s="138">
        <f>J79-'Table 3.15-Route UAA NoPARS'!J79-'Table 3.16-Route UAA PARS'!J79</f>
        <v>0</v>
      </c>
    </row>
    <row r="80" spans="1:17" x14ac:dyDescent="0.6">
      <c r="A80" s="337" t="s">
        <v>137</v>
      </c>
      <c r="B80" s="135">
        <v>82.632335181755579</v>
      </c>
      <c r="C80" s="46">
        <v>3563.5690341143181</v>
      </c>
      <c r="D80" s="135">
        <v>207196.00206676355</v>
      </c>
      <c r="E80" s="135"/>
      <c r="F80" s="83">
        <f>C80/D80</f>
        <v>1.7199024105523281E-2</v>
      </c>
      <c r="G80" s="159"/>
      <c r="H80" s="54">
        <v>1.5107753644979616</v>
      </c>
      <c r="I80" s="72"/>
      <c r="J80" s="46">
        <f>C80*H80</f>
        <v>5383.7523064277075</v>
      </c>
      <c r="K80" s="83">
        <f>F80*(H80)</f>
        <v>2.5983861912031163E-2</v>
      </c>
      <c r="M80" s="63"/>
      <c r="N80" s="138">
        <f>B80-'Table 3.15-Route UAA NoPARS'!B80-'Table 3.16-Route UAA PARS'!B80</f>
        <v>0</v>
      </c>
      <c r="O80" s="138">
        <f>C80-'Table 3.15-Route UAA NoPARS'!C80-'Table 3.16-Route UAA PARS'!C80</f>
        <v>0</v>
      </c>
      <c r="P80" s="138">
        <f>D80-'Table 3.15-Route UAA NoPARS'!D80-'Table 3.16-Route UAA PARS'!D80</f>
        <v>0</v>
      </c>
      <c r="Q80" s="138">
        <f>J80-'Table 3.15-Route UAA NoPARS'!J80-'Table 3.16-Route UAA PARS'!J80</f>
        <v>0</v>
      </c>
    </row>
    <row r="81" spans="1:18" x14ac:dyDescent="0.6">
      <c r="A81" s="337" t="s">
        <v>107</v>
      </c>
      <c r="B81" s="135">
        <v>5.7513920827216367</v>
      </c>
      <c r="C81" s="46">
        <v>224.38826155055156</v>
      </c>
      <c r="D81" s="135">
        <v>9307.0970605658295</v>
      </c>
      <c r="E81" s="135"/>
      <c r="F81" s="83">
        <f>C81/D81</f>
        <v>2.410937160001099E-2</v>
      </c>
      <c r="G81" s="159"/>
      <c r="H81" s="54">
        <v>1.2830218458412175</v>
      </c>
      <c r="I81" s="72"/>
      <c r="J81" s="46">
        <f>C81*H81</f>
        <v>287.89504151969055</v>
      </c>
      <c r="K81" s="83">
        <f>F81*(H81)</f>
        <v>3.0932850452317927E-2</v>
      </c>
      <c r="M81" s="63"/>
      <c r="N81" s="138">
        <f>B81-'Table 3.15-Route UAA NoPARS'!B81-'Table 3.16-Route UAA PARS'!B81</f>
        <v>0</v>
      </c>
      <c r="O81" s="138">
        <f>C81-'Table 3.15-Route UAA NoPARS'!C81-'Table 3.16-Route UAA PARS'!C81</f>
        <v>0</v>
      </c>
      <c r="P81" s="138">
        <f>D81-'Table 3.15-Route UAA NoPARS'!D81-'Table 3.16-Route UAA PARS'!D81</f>
        <v>0</v>
      </c>
      <c r="Q81" s="138">
        <f>J81-'Table 3.15-Route UAA NoPARS'!J81-'Table 3.16-Route UAA PARS'!J81</f>
        <v>0</v>
      </c>
    </row>
    <row r="82" spans="1:18" x14ac:dyDescent="0.6">
      <c r="A82" s="337" t="s">
        <v>102</v>
      </c>
      <c r="B82" s="135">
        <f>SUM(B78:B81)</f>
        <v>1035.2185268175274</v>
      </c>
      <c r="C82" s="46">
        <f>SUM(C78:C81)</f>
        <v>52223.668374250992</v>
      </c>
      <c r="D82" s="135">
        <f>SUM(D78:D81)</f>
        <v>2169066.0558747347</v>
      </c>
      <c r="E82" s="135"/>
      <c r="F82" s="83">
        <f>C82/D82</f>
        <v>2.4076568914444787E-2</v>
      </c>
      <c r="G82" s="159"/>
      <c r="H82" s="54"/>
      <c r="I82" s="72"/>
      <c r="J82" s="46">
        <f>SUM(J78:J81)</f>
        <v>71785.538514352826</v>
      </c>
      <c r="K82" s="83">
        <f>SUMPRODUCT(K78:K81,D78:D81)/D82</f>
        <v>3.3095137107478904E-2</v>
      </c>
      <c r="M82" s="63"/>
      <c r="N82" s="138">
        <f>B82-'Table 3.15-Route UAA NoPARS'!B82-'Table 3.16-Route UAA PARS'!B82</f>
        <v>0</v>
      </c>
      <c r="O82" s="138">
        <f>C82-'Table 3.15-Route UAA NoPARS'!C82-'Table 3.16-Route UAA PARS'!C82</f>
        <v>0</v>
      </c>
      <c r="P82" s="138">
        <f>D82-'Table 3.15-Route UAA NoPARS'!D82-'Table 3.16-Route UAA PARS'!D82</f>
        <v>0</v>
      </c>
      <c r="Q82" s="138">
        <f>J82-'Table 3.15-Route UAA NoPARS'!J82-'Table 3.16-Route UAA PARS'!J82</f>
        <v>0</v>
      </c>
    </row>
    <row r="83" spans="1:18" ht="5.15" customHeight="1" x14ac:dyDescent="0.6">
      <c r="B83" s="57"/>
      <c r="C83" s="46"/>
      <c r="D83" s="44"/>
      <c r="E83" s="44"/>
      <c r="F83" s="45"/>
      <c r="G83" s="23"/>
      <c r="H83" s="55"/>
      <c r="I83" s="79"/>
      <c r="J83" s="46"/>
      <c r="K83" s="41"/>
    </row>
    <row r="84" spans="1:18" ht="12.75" customHeight="1" x14ac:dyDescent="0.6"/>
    <row r="85" spans="1:18" ht="15.5" x14ac:dyDescent="0.7">
      <c r="A85" s="158" t="s">
        <v>64</v>
      </c>
    </row>
    <row r="86" spans="1:18" ht="15.5" x14ac:dyDescent="0.7">
      <c r="A86" s="158" t="s">
        <v>787</v>
      </c>
    </row>
    <row r="87" spans="1:18" ht="26" x14ac:dyDescent="0.6">
      <c r="A87" s="4"/>
      <c r="B87" s="189" t="s">
        <v>223</v>
      </c>
      <c r="C87" s="146" t="s">
        <v>217</v>
      </c>
      <c r="D87" s="168" t="s">
        <v>222</v>
      </c>
      <c r="E87" s="168"/>
      <c r="F87" s="169" t="s">
        <v>207</v>
      </c>
      <c r="G87" s="159"/>
      <c r="H87" s="190" t="s">
        <v>246</v>
      </c>
      <c r="I87" s="159"/>
      <c r="J87" s="189" t="s">
        <v>110</v>
      </c>
      <c r="K87" s="41" t="s">
        <v>133</v>
      </c>
    </row>
    <row r="88" spans="1:18" x14ac:dyDescent="0.6">
      <c r="A88" s="25" t="s">
        <v>390</v>
      </c>
      <c r="B88" s="57"/>
      <c r="C88" s="46"/>
      <c r="D88" s="44"/>
      <c r="E88" s="44"/>
      <c r="F88" s="45"/>
      <c r="G88" s="23"/>
      <c r="H88" s="55"/>
      <c r="I88" s="79"/>
      <c r="J88" s="46"/>
      <c r="K88" s="41"/>
      <c r="N88" s="63"/>
    </row>
    <row r="89" spans="1:18" x14ac:dyDescent="0.6">
      <c r="A89" s="21" t="s">
        <v>186</v>
      </c>
      <c r="B89" s="57"/>
      <c r="C89" s="46"/>
      <c r="D89" s="44"/>
      <c r="E89" s="44"/>
      <c r="F89" s="45"/>
      <c r="G89" s="23"/>
      <c r="H89" s="55"/>
      <c r="I89" s="79"/>
      <c r="J89" s="46"/>
      <c r="K89" s="41"/>
      <c r="N89" s="352"/>
      <c r="O89" s="352"/>
      <c r="P89" s="352"/>
    </row>
    <row r="90" spans="1:18" x14ac:dyDescent="0.6">
      <c r="A90" s="81" t="s">
        <v>138</v>
      </c>
      <c r="B90" s="56" t="s">
        <v>106</v>
      </c>
      <c r="C90" s="46">
        <f>SUM('Table 3.17-No Record Mail'!F6,'Table 3.17-No Record Mail'!F12)</f>
        <v>891.58719895744366</v>
      </c>
      <c r="D90" s="40">
        <v>16020.358949336942</v>
      </c>
      <c r="E90" s="184" t="s">
        <v>239</v>
      </c>
      <c r="F90" s="83">
        <f>C90/D90</f>
        <v>5.5653384657423366E-2</v>
      </c>
      <c r="G90" s="285" t="s">
        <v>240</v>
      </c>
      <c r="H90" s="54">
        <v>1.3727750819950504</v>
      </c>
      <c r="I90" s="72"/>
      <c r="J90" s="46">
        <f>C90*H90</f>
        <v>1223.948690154542</v>
      </c>
      <c r="K90" s="83">
        <f>F90*(H90)</f>
        <v>7.6399579686396435E-2</v>
      </c>
      <c r="N90" s="352"/>
      <c r="O90" s="138">
        <f>C90-'Table 3.15-Route UAA NoPARS'!C90-'Table 3.16-Route UAA PARS'!C90</f>
        <v>0</v>
      </c>
      <c r="P90" s="138">
        <f>D90-'Table 3.15-Route UAA NoPARS'!D90-'Table 3.16-Route UAA PARS'!D90</f>
        <v>0</v>
      </c>
      <c r="Q90" s="138">
        <f>J90-'Table 3.15-Route UAA NoPARS'!J90-'Table 3.16-Route UAA PARS'!J90</f>
        <v>0</v>
      </c>
      <c r="R90" s="352"/>
    </row>
    <row r="91" spans="1:18" x14ac:dyDescent="0.6">
      <c r="A91" s="81" t="s">
        <v>781</v>
      </c>
      <c r="B91" s="56" t="s">
        <v>106</v>
      </c>
      <c r="C91" s="46">
        <f>SUM('Table 3.17-No Record Mail'!F7:F8,'Table 3.17-No Record Mail'!F13:F14)</f>
        <v>3623.2468520009738</v>
      </c>
      <c r="D91" s="40">
        <v>16020.358949336942</v>
      </c>
      <c r="E91" s="184" t="s">
        <v>239</v>
      </c>
      <c r="F91" s="83">
        <f>C91/D91</f>
        <v>0.2261651479507539</v>
      </c>
      <c r="G91" s="285" t="s">
        <v>240</v>
      </c>
      <c r="H91" s="340">
        <v>1.7516721267338493</v>
      </c>
      <c r="I91" s="72"/>
      <c r="J91" s="46">
        <f>C91*H91</f>
        <v>6346.7405189262699</v>
      </c>
      <c r="K91" s="83">
        <f>F91*(H91)</f>
        <v>0.39616718570397275</v>
      </c>
      <c r="L91" s="64"/>
      <c r="M91" s="442"/>
      <c r="O91" s="138">
        <f>C91-'Table 3.15-Route UAA NoPARS'!C91-'Table 3.16-Route UAA PARS'!C91</f>
        <v>0</v>
      </c>
      <c r="P91" s="138">
        <f>D91-'Table 3.15-Route UAA NoPARS'!D91-'Table 3.16-Route UAA PARS'!D91</f>
        <v>0</v>
      </c>
      <c r="Q91" s="138">
        <f>J91-'Table 3.15-Route UAA NoPARS'!J91-'Table 3.16-Route UAA PARS'!J91</f>
        <v>0</v>
      </c>
    </row>
    <row r="92" spans="1:18" x14ac:dyDescent="0.6">
      <c r="A92" s="21" t="s">
        <v>187</v>
      </c>
      <c r="B92" s="56"/>
      <c r="C92" s="42"/>
      <c r="D92" s="40"/>
      <c r="E92" s="40"/>
      <c r="F92" s="41"/>
      <c r="G92" s="159"/>
      <c r="H92" s="54"/>
      <c r="I92" s="72"/>
      <c r="J92" s="42"/>
      <c r="K92" s="41"/>
    </row>
    <row r="93" spans="1:18" x14ac:dyDescent="0.6">
      <c r="A93" s="81" t="s">
        <v>138</v>
      </c>
      <c r="B93" s="56" t="s">
        <v>106</v>
      </c>
      <c r="C93" s="46">
        <f>'Table 3.17-No Record Mail'!F18</f>
        <v>238.44025270391828</v>
      </c>
      <c r="D93" s="40">
        <v>4679.3696114712075</v>
      </c>
      <c r="E93" s="184" t="s">
        <v>239</v>
      </c>
      <c r="F93" s="83">
        <f>C93/D93</f>
        <v>5.0955635588049213E-2</v>
      </c>
      <c r="G93" s="285" t="s">
        <v>240</v>
      </c>
      <c r="H93" s="54">
        <v>1.3727750819950504</v>
      </c>
      <c r="I93" s="72"/>
      <c r="J93" s="46">
        <f>C93*H93</f>
        <v>327.32483745654196</v>
      </c>
      <c r="K93" s="83">
        <f>F93*(H93)</f>
        <v>6.9950626822494172E-2</v>
      </c>
      <c r="O93" s="138">
        <f>C93-'Table 3.15-Route UAA NoPARS'!C93-'Table 3.16-Route UAA PARS'!C93</f>
        <v>0</v>
      </c>
      <c r="P93" s="138">
        <f>D93-'Table 3.15-Route UAA NoPARS'!D93-'Table 3.16-Route UAA PARS'!D93</f>
        <v>0</v>
      </c>
      <c r="Q93" s="138">
        <f>J93-'Table 3.15-Route UAA NoPARS'!J93-'Table 3.16-Route UAA PARS'!J93</f>
        <v>0</v>
      </c>
    </row>
    <row r="94" spans="1:18" x14ac:dyDescent="0.6">
      <c r="A94" s="81" t="s">
        <v>781</v>
      </c>
      <c r="B94" s="56" t="s">
        <v>106</v>
      </c>
      <c r="C94" s="46">
        <f>SUM('Table 3.17-No Record Mail'!F19:F20)</f>
        <v>487.62080284203887</v>
      </c>
      <c r="D94" s="40">
        <v>4679.3696114712075</v>
      </c>
      <c r="E94" s="184" t="s">
        <v>239</v>
      </c>
      <c r="F94" s="83">
        <f>C94/D94</f>
        <v>0.10420651569105896</v>
      </c>
      <c r="G94" s="285" t="s">
        <v>240</v>
      </c>
      <c r="H94" s="340">
        <v>1.7516721267338493</v>
      </c>
      <c r="I94" s="79"/>
      <c r="J94" s="46">
        <f>C94*H94</f>
        <v>854.15176875398129</v>
      </c>
      <c r="K94" s="83">
        <f>F94*(H94)</f>
        <v>0.18253564896008148</v>
      </c>
      <c r="L94" s="64"/>
      <c r="M94" s="442"/>
      <c r="O94" s="138">
        <f>C94-'Table 3.15-Route UAA NoPARS'!C94-'Table 3.16-Route UAA PARS'!C94</f>
        <v>0</v>
      </c>
      <c r="P94" s="138">
        <f>D94-'Table 3.15-Route UAA NoPARS'!D94-'Table 3.16-Route UAA PARS'!D94</f>
        <v>0</v>
      </c>
      <c r="Q94" s="138">
        <f>J94-'Table 3.15-Route UAA NoPARS'!J94-'Table 3.16-Route UAA PARS'!J94</f>
        <v>0</v>
      </c>
    </row>
    <row r="95" spans="1:18" x14ac:dyDescent="0.6">
      <c r="A95" s="81"/>
      <c r="B95" s="57"/>
      <c r="C95" s="46"/>
      <c r="D95" s="44"/>
      <c r="E95" s="44"/>
      <c r="F95" s="45"/>
      <c r="G95" s="23"/>
      <c r="H95" s="55"/>
      <c r="I95" s="79"/>
      <c r="J95" s="46"/>
      <c r="K95" s="41"/>
    </row>
    <row r="96" spans="1:18" x14ac:dyDescent="0.6">
      <c r="A96" s="25" t="s">
        <v>391</v>
      </c>
      <c r="B96" s="57"/>
      <c r="C96" s="46"/>
      <c r="D96" s="44"/>
      <c r="E96" s="44"/>
      <c r="F96" s="45"/>
      <c r="G96" s="23"/>
      <c r="H96" s="55"/>
      <c r="I96" s="79"/>
      <c r="J96" s="46"/>
      <c r="K96" s="41"/>
    </row>
    <row r="97" spans="1:17" ht="5.15" customHeight="1" x14ac:dyDescent="0.6">
      <c r="A97" s="25"/>
      <c r="B97" s="57"/>
      <c r="C97" s="46"/>
      <c r="D97" s="44"/>
      <c r="E97" s="44"/>
      <c r="F97" s="45"/>
      <c r="G97" s="23"/>
      <c r="H97" s="55"/>
      <c r="I97" s="79"/>
      <c r="J97" s="46"/>
      <c r="K97" s="41"/>
    </row>
    <row r="98" spans="1:17" x14ac:dyDescent="0.6">
      <c r="A98" s="82" t="s">
        <v>284</v>
      </c>
      <c r="B98" s="57"/>
      <c r="C98" s="46"/>
      <c r="D98" s="44"/>
      <c r="E98" s="44"/>
      <c r="F98" s="45"/>
      <c r="G98" s="23"/>
      <c r="H98" s="55"/>
      <c r="I98" s="79"/>
      <c r="J98" s="46"/>
      <c r="K98" s="41"/>
      <c r="L98" s="47"/>
    </row>
    <row r="99" spans="1:17" x14ac:dyDescent="0.6">
      <c r="A99" s="338" t="s">
        <v>280</v>
      </c>
      <c r="B99" s="56" t="s">
        <v>106</v>
      </c>
      <c r="C99" s="46" t="s">
        <v>106</v>
      </c>
      <c r="D99" s="40">
        <f>D11</f>
        <v>959656.77990170172</v>
      </c>
      <c r="E99" s="40"/>
      <c r="F99" s="56" t="s">
        <v>106</v>
      </c>
      <c r="G99" s="159"/>
      <c r="H99" s="56" t="s">
        <v>106</v>
      </c>
      <c r="I99" s="72"/>
      <c r="J99" s="46">
        <f>J11+SUM($J$90:$J$91)*D99/SUM($D$103,$D$109)</f>
        <v>72243.644966007821</v>
      </c>
      <c r="K99" s="83">
        <f>J99/D99</f>
        <v>7.5280711269926928E-2</v>
      </c>
      <c r="P99" s="138">
        <f>D99-'Table 3.15-Route UAA NoPARS'!D99-'Table 3.16-Route UAA PARS'!D99</f>
        <v>0</v>
      </c>
      <c r="Q99" s="138">
        <f>J99-'Table 3.15-Route UAA NoPARS'!J99-'Table 3.16-Route UAA PARS'!J99</f>
        <v>0</v>
      </c>
    </row>
    <row r="100" spans="1:17" x14ac:dyDescent="0.6">
      <c r="A100" s="338" t="s">
        <v>287</v>
      </c>
      <c r="B100" s="56" t="s">
        <v>106</v>
      </c>
      <c r="C100" s="46" t="s">
        <v>106</v>
      </c>
      <c r="D100" s="40">
        <f>D18</f>
        <v>94606.419396326237</v>
      </c>
      <c r="E100" s="40"/>
      <c r="F100" s="56" t="s">
        <v>106</v>
      </c>
      <c r="G100" s="159"/>
      <c r="H100" s="56" t="s">
        <v>106</v>
      </c>
      <c r="I100" s="72"/>
      <c r="J100" s="46">
        <f>J18+SUM($J$90:$J$91)*D100/SUM($D$103,$D$109)</f>
        <v>6918.5430454995076</v>
      </c>
      <c r="K100" s="83">
        <f>J100/D100</f>
        <v>7.3129742037020468E-2</v>
      </c>
      <c r="P100" s="138">
        <f>D100-'Table 3.15-Route UAA NoPARS'!D100-'Table 3.16-Route UAA PARS'!D100</f>
        <v>0</v>
      </c>
      <c r="Q100" s="138">
        <f>J100-'Table 3.15-Route UAA NoPARS'!J100-'Table 3.16-Route UAA PARS'!J100</f>
        <v>0</v>
      </c>
    </row>
    <row r="101" spans="1:17" x14ac:dyDescent="0.6">
      <c r="A101" s="338" t="s">
        <v>282</v>
      </c>
      <c r="B101" s="56" t="s">
        <v>106</v>
      </c>
      <c r="C101" s="46" t="s">
        <v>106</v>
      </c>
      <c r="D101" s="40">
        <f>D25</f>
        <v>288350.67715581338</v>
      </c>
      <c r="E101" s="40"/>
      <c r="F101" s="56" t="s">
        <v>106</v>
      </c>
      <c r="G101" s="159"/>
      <c r="H101" s="56" t="s">
        <v>106</v>
      </c>
      <c r="I101" s="72"/>
      <c r="J101" s="46">
        <f>J25+SUM($J$90:$J$91)*D101/SUM($D$103,$D$109)</f>
        <v>23152.758560344515</v>
      </c>
      <c r="K101" s="83">
        <f>J101/D101</f>
        <v>8.0293754773579654E-2</v>
      </c>
      <c r="P101" s="138">
        <f>D101-'Table 3.15-Route UAA NoPARS'!D101-'Table 3.16-Route UAA PARS'!D101</f>
        <v>0</v>
      </c>
      <c r="Q101" s="138">
        <f>J101-'Table 3.15-Route UAA NoPARS'!J101-'Table 3.16-Route UAA PARS'!J101</f>
        <v>0</v>
      </c>
    </row>
    <row r="102" spans="1:17" x14ac:dyDescent="0.6">
      <c r="A102" s="338" t="s">
        <v>276</v>
      </c>
      <c r="B102" s="56" t="s">
        <v>106</v>
      </c>
      <c r="C102" s="46" t="s">
        <v>106</v>
      </c>
      <c r="D102" s="40">
        <f>D32</f>
        <v>41577.891726989015</v>
      </c>
      <c r="E102" s="40"/>
      <c r="F102" s="56" t="s">
        <v>106</v>
      </c>
      <c r="G102" s="159"/>
      <c r="H102" s="56" t="s">
        <v>106</v>
      </c>
      <c r="I102" s="72"/>
      <c r="J102" s="46">
        <f>J32+SUM($J$90:$J$91)*D102/SUM($D$103,$D$109)</f>
        <v>4143.9735834443609</v>
      </c>
      <c r="K102" s="83">
        <f>J102/D102</f>
        <v>9.9667717898125827E-2</v>
      </c>
      <c r="P102" s="138">
        <f>D102-'Table 3.15-Route UAA NoPARS'!D102-'Table 3.16-Route UAA PARS'!D102</f>
        <v>0</v>
      </c>
      <c r="Q102" s="138">
        <f>J102-'Table 3.15-Route UAA NoPARS'!J102-'Table 3.16-Route UAA PARS'!J102</f>
        <v>0</v>
      </c>
    </row>
    <row r="103" spans="1:17" x14ac:dyDescent="0.6">
      <c r="A103" s="338" t="s">
        <v>281</v>
      </c>
      <c r="B103" s="56"/>
      <c r="C103" s="46"/>
      <c r="D103" s="40">
        <f>SUM(D99:D102)</f>
        <v>1384191.7681808304</v>
      </c>
      <c r="E103" s="40"/>
      <c r="F103" s="56"/>
      <c r="G103" s="159"/>
      <c r="H103" s="56"/>
      <c r="I103" s="72"/>
      <c r="J103" s="46">
        <f>SUM(J99:J102)</f>
        <v>106458.9201552962</v>
      </c>
      <c r="K103" s="83">
        <f>J103/D103</f>
        <v>7.6910528297108358E-2</v>
      </c>
      <c r="P103" s="138">
        <f>D103-'Table 3.15-Route UAA NoPARS'!D103-'Table 3.16-Route UAA PARS'!D103</f>
        <v>0</v>
      </c>
      <c r="Q103" s="138">
        <f>J103-'Table 3.15-Route UAA NoPARS'!J103-'Table 3.16-Route UAA PARS'!J103</f>
        <v>0</v>
      </c>
    </row>
    <row r="104" spans="1:17" ht="5.15" customHeight="1" x14ac:dyDescent="0.6">
      <c r="A104" s="21"/>
      <c r="B104" s="56"/>
      <c r="C104" s="46"/>
      <c r="D104" s="40"/>
      <c r="E104" s="40"/>
      <c r="F104" s="56"/>
      <c r="G104" s="159"/>
      <c r="H104" s="56"/>
      <c r="I104" s="72"/>
      <c r="J104" s="46"/>
      <c r="K104" s="83"/>
    </row>
    <row r="105" spans="1:17" x14ac:dyDescent="0.6">
      <c r="A105" s="82" t="s">
        <v>392</v>
      </c>
    </row>
    <row r="106" spans="1:17" x14ac:dyDescent="0.6">
      <c r="A106" s="338" t="s">
        <v>386</v>
      </c>
      <c r="B106" s="56" t="s">
        <v>106</v>
      </c>
      <c r="C106" s="46" t="s">
        <v>106</v>
      </c>
      <c r="D106" s="40">
        <f>D52</f>
        <v>70126.862384490072</v>
      </c>
      <c r="E106" s="40"/>
      <c r="F106" s="56" t="s">
        <v>106</v>
      </c>
      <c r="G106" s="159"/>
      <c r="H106" s="56" t="s">
        <v>106</v>
      </c>
      <c r="I106" s="72"/>
      <c r="J106" s="46">
        <f>J52+SUM($J$90:$J$91)*D106/SUM($D$103,$D$109)</f>
        <v>5485.3606677653697</v>
      </c>
      <c r="K106" s="83">
        <f t="shared" ref="K106:K111" si="2">J106/D106</f>
        <v>7.8220534631798455E-2</v>
      </c>
      <c r="P106" s="138">
        <f>D106-'Table 3.15-Route UAA NoPARS'!D106-'Table 3.16-Route UAA PARS'!D106</f>
        <v>0</v>
      </c>
      <c r="Q106" s="138">
        <f>J106-'Table 3.15-Route UAA NoPARS'!J106-'Table 3.16-Route UAA PARS'!J106</f>
        <v>0</v>
      </c>
    </row>
    <row r="107" spans="1:17" x14ac:dyDescent="0.6">
      <c r="A107" s="338" t="s">
        <v>393</v>
      </c>
      <c r="B107" s="56" t="s">
        <v>106</v>
      </c>
      <c r="C107" s="46" t="s">
        <v>106</v>
      </c>
      <c r="D107" s="40">
        <f>D60</f>
        <v>40797.236658663016</v>
      </c>
      <c r="E107" s="40"/>
      <c r="F107" s="56" t="s">
        <v>106</v>
      </c>
      <c r="G107" s="159"/>
      <c r="H107" s="56" t="s">
        <v>106</v>
      </c>
      <c r="I107" s="72"/>
      <c r="J107" s="46">
        <f>J60+SUM($J$90:$J$91)*D107/SUM($D$103,$D$109)</f>
        <v>2957.9522216176038</v>
      </c>
      <c r="K107" s="83">
        <f t="shared" si="2"/>
        <v>7.2503739563682015E-2</v>
      </c>
      <c r="P107" s="138">
        <f>D107-'Table 3.15-Route UAA NoPARS'!D107-'Table 3.16-Route UAA PARS'!D107</f>
        <v>0</v>
      </c>
      <c r="Q107" s="138">
        <f>J107-'Table 3.15-Route UAA NoPARS'!J107-'Table 3.16-Route UAA PARS'!J107</f>
        <v>0</v>
      </c>
    </row>
    <row r="108" spans="1:17" x14ac:dyDescent="0.6">
      <c r="A108" s="338" t="s">
        <v>388</v>
      </c>
      <c r="B108" s="56" t="s">
        <v>106</v>
      </c>
      <c r="C108" s="46" t="s">
        <v>106</v>
      </c>
      <c r="D108" s="40">
        <f>D67</f>
        <v>54886.649217310791</v>
      </c>
      <c r="E108" s="40"/>
      <c r="F108" s="56" t="s">
        <v>106</v>
      </c>
      <c r="G108" s="159"/>
      <c r="H108" s="56" t="s">
        <v>106</v>
      </c>
      <c r="I108" s="72"/>
      <c r="J108" s="46">
        <f>J67+SUM($J$90:$J$91)*D108/SUM($D$103,$D$109)</f>
        <v>5194.6004323260731</v>
      </c>
      <c r="K108" s="83">
        <f t="shared" si="2"/>
        <v>9.4642331175278593E-2</v>
      </c>
      <c r="P108" s="138">
        <f>D108-'Table 3.15-Route UAA NoPARS'!D108-'Table 3.16-Route UAA PARS'!D108</f>
        <v>8.1854523159563541E-12</v>
      </c>
      <c r="Q108" s="138">
        <f>J108-'Table 3.15-Route UAA NoPARS'!J108-'Table 3.16-Route UAA PARS'!J108</f>
        <v>0</v>
      </c>
    </row>
    <row r="109" spans="1:17" x14ac:dyDescent="0.6">
      <c r="A109" s="338" t="s">
        <v>394</v>
      </c>
      <c r="B109" s="56"/>
      <c r="C109" s="46"/>
      <c r="D109" s="40">
        <f>SUM(D106:D108)</f>
        <v>165810.74826046388</v>
      </c>
      <c r="E109" s="40"/>
      <c r="F109" s="56"/>
      <c r="G109" s="159"/>
      <c r="H109" s="56"/>
      <c r="I109" s="72"/>
      <c r="J109" s="46">
        <f>SUM(J106:J108)</f>
        <v>13637.913321709048</v>
      </c>
      <c r="K109" s="83">
        <f t="shared" si="2"/>
        <v>8.2249875021888963E-2</v>
      </c>
      <c r="P109" s="138">
        <f>D109-'Table 3.15-Route UAA NoPARS'!D109-'Table 3.16-Route UAA PARS'!D109</f>
        <v>0</v>
      </c>
      <c r="Q109" s="138">
        <f>J109-'Table 3.15-Route UAA NoPARS'!J109-'Table 3.16-Route UAA PARS'!J109</f>
        <v>0</v>
      </c>
    </row>
    <row r="110" spans="1:17" ht="5.15" customHeight="1" x14ac:dyDescent="0.6">
      <c r="A110" s="21"/>
      <c r="B110" s="56"/>
      <c r="C110" s="46"/>
      <c r="D110" s="40"/>
      <c r="E110" s="40"/>
      <c r="F110" s="56"/>
      <c r="G110" s="159"/>
      <c r="H110" s="56"/>
      <c r="I110" s="72"/>
      <c r="J110" s="46"/>
      <c r="K110" s="83"/>
    </row>
    <row r="111" spans="1:17" x14ac:dyDescent="0.6">
      <c r="A111" s="82" t="s">
        <v>286</v>
      </c>
      <c r="B111" s="56" t="s">
        <v>106</v>
      </c>
      <c r="C111" s="46" t="s">
        <v>106</v>
      </c>
      <c r="D111" s="40">
        <f>D82</f>
        <v>2169066.0558747347</v>
      </c>
      <c r="E111" s="40"/>
      <c r="F111" s="56"/>
      <c r="G111" s="159"/>
      <c r="H111" s="56"/>
      <c r="I111" s="72"/>
      <c r="J111" s="46">
        <f>SUM(J93:J94)+J82</f>
        <v>72967.015120563345</v>
      </c>
      <c r="K111" s="83">
        <f t="shared" si="2"/>
        <v>3.3639830803187512E-2</v>
      </c>
      <c r="P111" s="138">
        <f>D111-'Table 3.15-Route UAA NoPARS'!D111-'Table 3.16-Route UAA PARS'!D111</f>
        <v>0</v>
      </c>
      <c r="Q111" s="138">
        <f>J111-'Table 3.15-Route UAA NoPARS'!J111-'Table 3.16-Route UAA PARS'!J111</f>
        <v>0</v>
      </c>
    </row>
    <row r="112" spans="1:17" hidden="1" x14ac:dyDescent="0.6">
      <c r="A112" s="341"/>
      <c r="B112" s="56"/>
      <c r="C112" s="46"/>
      <c r="D112" s="40"/>
      <c r="E112" s="40"/>
      <c r="F112" s="56"/>
      <c r="G112" s="159"/>
      <c r="H112" s="56"/>
      <c r="I112" s="72"/>
      <c r="J112" s="46"/>
      <c r="K112" s="83"/>
    </row>
    <row r="113" spans="1:11" hidden="1" x14ac:dyDescent="0.6">
      <c r="B113" s="69"/>
      <c r="C113" s="70"/>
      <c r="D113" s="37"/>
      <c r="E113" s="37"/>
      <c r="F113" s="38"/>
      <c r="G113" s="2"/>
      <c r="H113" s="4"/>
      <c r="I113" s="2"/>
      <c r="J113" s="2"/>
      <c r="K113" s="71"/>
    </row>
    <row r="114" spans="1:11" hidden="1" x14ac:dyDescent="0.6">
      <c r="A114" s="127" t="s">
        <v>191</v>
      </c>
      <c r="B114" s="339">
        <v>0</v>
      </c>
      <c r="C114" s="339">
        <v>0</v>
      </c>
      <c r="D114" s="339">
        <v>0</v>
      </c>
      <c r="E114" s="128"/>
      <c r="H114" s="126"/>
      <c r="I114" s="127"/>
      <c r="J114" s="339">
        <f>SUM(J103,J109)-J39-J74-SUM(J90:J91)</f>
        <v>1.6370904631912708E-11</v>
      </c>
    </row>
    <row r="115" spans="1:11" hidden="1" x14ac:dyDescent="0.6">
      <c r="A115" s="127"/>
      <c r="B115" s="339">
        <v>0</v>
      </c>
      <c r="C115" s="339">
        <v>0</v>
      </c>
      <c r="D115" s="339">
        <v>0</v>
      </c>
      <c r="E115" s="128"/>
      <c r="H115" s="126"/>
      <c r="I115" s="127"/>
      <c r="J115" s="339">
        <f>J111-J82-J93-J94</f>
        <v>-4.0927261579781771E-12</v>
      </c>
    </row>
    <row r="116" spans="1:11" hidden="1" x14ac:dyDescent="0.6">
      <c r="B116" s="339">
        <v>0</v>
      </c>
      <c r="C116" s="339">
        <v>0</v>
      </c>
      <c r="D116" s="339">
        <v>0</v>
      </c>
      <c r="H116" s="127"/>
      <c r="I116" s="127"/>
      <c r="J116" s="339">
        <v>0</v>
      </c>
    </row>
    <row r="117" spans="1:11" hidden="1" x14ac:dyDescent="0.6">
      <c r="B117" s="339">
        <v>0</v>
      </c>
      <c r="C117" s="339">
        <v>0</v>
      </c>
      <c r="D117" s="339">
        <v>0</v>
      </c>
      <c r="H117" s="342"/>
      <c r="I117" s="342"/>
      <c r="J117" s="339">
        <v>0</v>
      </c>
    </row>
    <row r="118" spans="1:11" hidden="1" x14ac:dyDescent="0.6">
      <c r="B118" s="339"/>
      <c r="C118" s="339"/>
      <c r="D118" s="339">
        <v>0</v>
      </c>
      <c r="H118" s="342"/>
      <c r="I118" s="342"/>
      <c r="J118" s="339">
        <v>0</v>
      </c>
    </row>
    <row r="119" spans="1:11" x14ac:dyDescent="0.6">
      <c r="A119" s="141"/>
      <c r="B119" s="290"/>
      <c r="C119" s="291"/>
      <c r="D119" s="282"/>
      <c r="E119" s="37"/>
    </row>
    <row r="120" spans="1:11" x14ac:dyDescent="0.6">
      <c r="A120" s="11" t="s">
        <v>235</v>
      </c>
    </row>
    <row r="121" spans="1:11" x14ac:dyDescent="0.6">
      <c r="A121" s="25" t="s">
        <v>796</v>
      </c>
    </row>
    <row r="122" spans="1:11" x14ac:dyDescent="0.6">
      <c r="A122" s="25" t="s">
        <v>795</v>
      </c>
    </row>
    <row r="123" spans="1:11" x14ac:dyDescent="0.6">
      <c r="A123" s="25" t="s">
        <v>797</v>
      </c>
    </row>
    <row r="124" spans="1:11" x14ac:dyDescent="0.6">
      <c r="A124" s="145" t="s">
        <v>91</v>
      </c>
    </row>
  </sheetData>
  <phoneticPr fontId="0" type="noConversion"/>
  <printOptions horizontalCentered="1"/>
  <pageMargins left="0.75" right="0.75" top="1" bottom="1" header="0.5" footer="0.5"/>
  <pageSetup scale="92" fitToHeight="3" orientation="landscape" r:id="rId1"/>
  <headerFooter alignWithMargins="0">
    <oddFooter>&amp;L&amp;F</oddFooter>
  </headerFooter>
  <rowBreaks count="2" manualBreakCount="2">
    <brk id="41" max="10" man="1"/>
    <brk id="84" max="10"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8"/>
  <dimension ref="A1:T124"/>
  <sheetViews>
    <sheetView zoomScale="70" zoomScaleNormal="70" workbookViewId="0"/>
  </sheetViews>
  <sheetFormatPr defaultColWidth="9.08984375" defaultRowHeight="13" x14ac:dyDescent="0.6"/>
  <cols>
    <col min="1" max="1" width="43.31640625" style="11" customWidth="1"/>
    <col min="2" max="2" width="11.6796875" style="62" customWidth="1"/>
    <col min="3" max="3" width="11.6796875" style="52" customWidth="1"/>
    <col min="4" max="4" width="11.6796875" style="53" customWidth="1"/>
    <col min="5" max="5" width="2.6796875" style="53" customWidth="1"/>
    <col min="6" max="6" width="11.6796875" style="64" customWidth="1"/>
    <col min="7" max="7" width="2.6796875" style="24" customWidth="1"/>
    <col min="8" max="8" width="11.6796875" style="11" customWidth="1"/>
    <col min="9" max="9" width="2.31640625" style="24" customWidth="1"/>
    <col min="10" max="10" width="11.6796875" style="24" customWidth="1"/>
    <col min="11" max="11" width="11.6796875" style="64" customWidth="1"/>
    <col min="12" max="12" width="9.08984375" style="11"/>
    <col min="13" max="13" width="11.31640625" style="11" bestFit="1" customWidth="1"/>
    <col min="14" max="14" width="11.08984375" style="11" bestFit="1" customWidth="1"/>
    <col min="15" max="16384" width="9.08984375" style="11"/>
  </cols>
  <sheetData>
    <row r="1" spans="1:12" ht="15.75" customHeight="1" x14ac:dyDescent="0.7">
      <c r="A1" s="158" t="s">
        <v>672</v>
      </c>
    </row>
    <row r="2" spans="1:12" ht="15.75" customHeight="1" x14ac:dyDescent="0.7">
      <c r="A2" s="158" t="s">
        <v>787</v>
      </c>
    </row>
    <row r="3" spans="1:12" s="4" customFormat="1" ht="26" x14ac:dyDescent="0.6">
      <c r="B3" s="189" t="s">
        <v>248</v>
      </c>
      <c r="C3" s="146" t="s">
        <v>249</v>
      </c>
      <c r="D3" s="168" t="s">
        <v>250</v>
      </c>
      <c r="E3" s="168"/>
      <c r="F3" s="169" t="s">
        <v>207</v>
      </c>
      <c r="G3" s="159"/>
      <c r="H3" s="190" t="s">
        <v>246</v>
      </c>
      <c r="I3" s="159"/>
      <c r="J3" s="189" t="s">
        <v>110</v>
      </c>
      <c r="K3" s="41" t="s">
        <v>133</v>
      </c>
    </row>
    <row r="4" spans="1:12" x14ac:dyDescent="0.6">
      <c r="A4" s="15" t="s">
        <v>283</v>
      </c>
      <c r="B4" s="65"/>
      <c r="C4" s="39"/>
      <c r="D4" s="37"/>
      <c r="E4" s="37"/>
      <c r="F4" s="38"/>
      <c r="G4" s="2"/>
      <c r="H4" s="66"/>
      <c r="I4" s="2"/>
      <c r="J4" s="2"/>
      <c r="K4" s="38"/>
    </row>
    <row r="5" spans="1:12" ht="5.15" customHeight="1" x14ac:dyDescent="0.6">
      <c r="A5" s="49"/>
      <c r="B5" s="65"/>
      <c r="C5" s="39"/>
      <c r="D5" s="37"/>
      <c r="E5" s="37"/>
      <c r="F5" s="38"/>
      <c r="G5" s="2"/>
      <c r="H5" s="66"/>
      <c r="I5" s="2"/>
      <c r="J5" s="2"/>
      <c r="K5" s="38"/>
    </row>
    <row r="6" spans="1:12" x14ac:dyDescent="0.6">
      <c r="A6" s="82" t="s">
        <v>275</v>
      </c>
      <c r="B6" s="57"/>
      <c r="C6" s="67"/>
      <c r="D6" s="40"/>
      <c r="E6" s="40"/>
      <c r="F6" s="41"/>
      <c r="G6" s="43"/>
      <c r="H6" s="54"/>
      <c r="I6" s="68"/>
      <c r="J6" s="68"/>
      <c r="K6" s="41"/>
    </row>
    <row r="7" spans="1:12" x14ac:dyDescent="0.6">
      <c r="A7" s="337" t="s">
        <v>135</v>
      </c>
      <c r="B7" s="135">
        <v>82.845520094166829</v>
      </c>
      <c r="C7" s="46">
        <v>3070.9582117662312</v>
      </c>
      <c r="D7" s="135">
        <v>37896.677928830861</v>
      </c>
      <c r="E7" s="135"/>
      <c r="F7" s="83">
        <f>IF(D7&lt;&gt;0,C7/D7,0)</f>
        <v>8.1035024165796915E-2</v>
      </c>
      <c r="G7" s="159"/>
      <c r="H7" s="54">
        <v>1.3820275853954722</v>
      </c>
      <c r="I7" s="72"/>
      <c r="J7" s="46">
        <f>C7*H7</f>
        <v>4244.1489622576819</v>
      </c>
      <c r="K7" s="83">
        <f>F7*(H7)</f>
        <v>0.11199263878032005</v>
      </c>
    </row>
    <row r="8" spans="1:12" ht="12.75" customHeight="1" x14ac:dyDescent="0.6">
      <c r="A8" s="338" t="s">
        <v>136</v>
      </c>
      <c r="B8" s="135">
        <v>17.410813773493963</v>
      </c>
      <c r="C8" s="46">
        <v>646.92564014206698</v>
      </c>
      <c r="D8" s="135">
        <v>8001.886113030283</v>
      </c>
      <c r="E8" s="135"/>
      <c r="F8" s="83">
        <f>IF(D8&lt;&gt;0,C8/D8,0)</f>
        <v>8.0846644279104693E-2</v>
      </c>
      <c r="G8" s="159"/>
      <c r="H8" s="54">
        <v>1.2830218458412175</v>
      </c>
      <c r="I8" s="72"/>
      <c r="J8" s="46">
        <f>C8*H8</f>
        <v>830.01972893708603</v>
      </c>
      <c r="K8" s="83">
        <f>F8*(H8)</f>
        <v>0.10372801077304521</v>
      </c>
    </row>
    <row r="9" spans="1:12" x14ac:dyDescent="0.6">
      <c r="A9" s="337" t="s">
        <v>137</v>
      </c>
      <c r="B9" s="135">
        <v>9.3572036975602035</v>
      </c>
      <c r="C9" s="46">
        <v>390.94263708982345</v>
      </c>
      <c r="D9" s="135">
        <v>4261.2932312701723</v>
      </c>
      <c r="E9" s="135"/>
      <c r="F9" s="83">
        <f>IF(D9&lt;&gt;0,C9/D9,0)</f>
        <v>9.1742721252086754E-2</v>
      </c>
      <c r="G9" s="159"/>
      <c r="H9" s="54">
        <v>1.5107753644979616</v>
      </c>
      <c r="I9" s="48"/>
      <c r="J9" s="46">
        <f>C9*H9</f>
        <v>590.62650504717237</v>
      </c>
      <c r="K9" s="83">
        <f>F9*(H9)</f>
        <v>0.13860264313965626</v>
      </c>
    </row>
    <row r="10" spans="1:12" x14ac:dyDescent="0.6">
      <c r="A10" s="337" t="s">
        <v>107</v>
      </c>
      <c r="B10" s="135">
        <v>0.58517256508787729</v>
      </c>
      <c r="C10" s="46">
        <v>22.830273557877497</v>
      </c>
      <c r="D10" s="135">
        <v>477.14326119208499</v>
      </c>
      <c r="E10" s="135"/>
      <c r="F10" s="83">
        <f>IF(D10&lt;&gt;0,C10/D10,0)</f>
        <v>4.7847838196098183E-2</v>
      </c>
      <c r="G10" s="159"/>
      <c r="H10" s="54">
        <v>1.2830218458412175</v>
      </c>
      <c r="I10" s="72"/>
      <c r="J10" s="46">
        <f>C10*H10</f>
        <v>29.291739721287925</v>
      </c>
      <c r="K10" s="83">
        <f>F10*(H10)</f>
        <v>6.1389821681869801E-2</v>
      </c>
    </row>
    <row r="11" spans="1:12" x14ac:dyDescent="0.6">
      <c r="A11" s="337" t="s">
        <v>277</v>
      </c>
      <c r="B11" s="135">
        <f>SUM(B7:B10)</f>
        <v>110.19871013030888</v>
      </c>
      <c r="C11" s="46">
        <f>SUM(C7:C10)</f>
        <v>4131.6567625559992</v>
      </c>
      <c r="D11" s="135">
        <f>SUM(D7:D10)</f>
        <v>50637.000534323401</v>
      </c>
      <c r="E11" s="135"/>
      <c r="F11" s="83">
        <f>IF(D11&lt;&gt;0,C11/D11,0)</f>
        <v>8.159363151368787E-2</v>
      </c>
      <c r="G11" s="159"/>
      <c r="H11" s="54"/>
      <c r="I11" s="72"/>
      <c r="J11" s="46">
        <f>SUM(J7:J10)</f>
        <v>5694.0869359632279</v>
      </c>
      <c r="K11" s="83">
        <f>SUMPRODUCT(K7:K10,D7:D10)/D11</f>
        <v>0.11244913553091659</v>
      </c>
      <c r="L11" s="84"/>
    </row>
    <row r="12" spans="1:12" ht="5.15" customHeight="1" x14ac:dyDescent="0.6">
      <c r="A12" s="21"/>
      <c r="B12" s="135"/>
      <c r="C12" s="46"/>
      <c r="D12" s="135"/>
      <c r="E12" s="135"/>
      <c r="F12" s="83"/>
      <c r="G12" s="159"/>
      <c r="H12" s="54"/>
      <c r="I12" s="72"/>
      <c r="J12" s="46"/>
      <c r="K12" s="83"/>
      <c r="L12" s="84"/>
    </row>
    <row r="13" spans="1:12" x14ac:dyDescent="0.6">
      <c r="A13" s="89" t="s">
        <v>383</v>
      </c>
      <c r="B13" s="135"/>
      <c r="C13" s="46"/>
      <c r="D13" s="135"/>
      <c r="E13" s="135"/>
      <c r="F13" s="83"/>
      <c r="G13" s="159"/>
      <c r="H13" s="54"/>
      <c r="I13" s="72"/>
      <c r="J13" s="46"/>
      <c r="K13" s="83"/>
      <c r="L13" s="84"/>
    </row>
    <row r="14" spans="1:12" x14ac:dyDescent="0.6">
      <c r="A14" s="337" t="s">
        <v>135</v>
      </c>
      <c r="B14" s="135">
        <v>3.7860509600102867</v>
      </c>
      <c r="C14" s="46">
        <v>151.70507569170681</v>
      </c>
      <c r="D14" s="135">
        <v>1686.1179804124424</v>
      </c>
      <c r="E14" s="135"/>
      <c r="F14" s="83">
        <f>IF(D14&lt;&gt;0,C14/D14,0)</f>
        <v>8.9972989704195039E-2</v>
      </c>
      <c r="G14" s="159"/>
      <c r="H14" s="54">
        <v>1.3820275853954722</v>
      </c>
      <c r="I14" s="72"/>
      <c r="J14" s="46">
        <f>C14*H14</f>
        <v>209.66059945044691</v>
      </c>
      <c r="K14" s="83">
        <f>F14*(H14)</f>
        <v>0.12434515371170035</v>
      </c>
      <c r="L14" s="84"/>
    </row>
    <row r="15" spans="1:12" x14ac:dyDescent="0.6">
      <c r="A15" s="338" t="s">
        <v>136</v>
      </c>
      <c r="B15" s="135">
        <v>3.2446385933236144</v>
      </c>
      <c r="C15" s="46">
        <v>147.60940532206951</v>
      </c>
      <c r="D15" s="135">
        <v>1461.5184140526378</v>
      </c>
      <c r="E15" s="135"/>
      <c r="F15" s="83">
        <f>IF(D15&lt;&gt;0,C15/D15,0)</f>
        <v>0.10099729425424347</v>
      </c>
      <c r="G15" s="159"/>
      <c r="H15" s="54">
        <v>1.2830218458412175</v>
      </c>
      <c r="I15" s="72"/>
      <c r="J15" s="46">
        <f>C15*H15</f>
        <v>189.38609167984606</v>
      </c>
      <c r="K15" s="83">
        <f>F15*(H15)</f>
        <v>0.12958173489904806</v>
      </c>
      <c r="L15" s="84"/>
    </row>
    <row r="16" spans="1:12" x14ac:dyDescent="0.6">
      <c r="A16" s="337" t="s">
        <v>137</v>
      </c>
      <c r="B16" s="135">
        <v>22.834782668267867</v>
      </c>
      <c r="C16" s="46">
        <v>175.20989423260215</v>
      </c>
      <c r="D16" s="135">
        <v>4664.8816057629583</v>
      </c>
      <c r="E16" s="135"/>
      <c r="F16" s="83">
        <f>IF(D16&lt;&gt;0,C16/D16,0)</f>
        <v>3.7559344274922052E-2</v>
      </c>
      <c r="G16" s="159"/>
      <c r="H16" s="54">
        <v>1.5107753644979616</v>
      </c>
      <c r="I16" s="72"/>
      <c r="J16" s="46">
        <f>C16*H16</f>
        <v>264.70279182290881</v>
      </c>
      <c r="K16" s="83">
        <f>F16*(H16)</f>
        <v>5.6743732037249792E-2</v>
      </c>
      <c r="L16" s="84"/>
    </row>
    <row r="17" spans="1:12" ht="12.75" customHeight="1" x14ac:dyDescent="0.6">
      <c r="A17" s="337" t="s">
        <v>107</v>
      </c>
      <c r="B17" s="135">
        <v>0</v>
      </c>
      <c r="C17" s="46">
        <v>0</v>
      </c>
      <c r="D17" s="135">
        <v>0</v>
      </c>
      <c r="E17" s="135"/>
      <c r="F17" s="83">
        <f>IF(D17&lt;&gt;0,C17/D17,0)</f>
        <v>0</v>
      </c>
      <c r="G17" s="159"/>
      <c r="H17" s="54">
        <v>1.2830218458412175</v>
      </c>
      <c r="I17" s="72"/>
      <c r="J17" s="46">
        <f>C17*H17</f>
        <v>0</v>
      </c>
      <c r="K17" s="83">
        <f>F17*(H17)</f>
        <v>0</v>
      </c>
      <c r="L17" s="84"/>
    </row>
    <row r="18" spans="1:12" x14ac:dyDescent="0.6">
      <c r="A18" s="337" t="s">
        <v>277</v>
      </c>
      <c r="B18" s="135">
        <f>SUM(B14:B17)</f>
        <v>29.865472221601767</v>
      </c>
      <c r="C18" s="46">
        <f>SUM(C14:C17)</f>
        <v>474.5243752463785</v>
      </c>
      <c r="D18" s="135">
        <f>SUM(D14:D17)</f>
        <v>7812.5180002280385</v>
      </c>
      <c r="E18" s="135"/>
      <c r="F18" s="83">
        <f>IF(D18&lt;&gt;0,C18/D18,0)</f>
        <v>6.0738980087153421E-2</v>
      </c>
      <c r="G18" s="159"/>
      <c r="H18" s="54"/>
      <c r="I18" s="72"/>
      <c r="J18" s="46">
        <f>SUM(J14:J17)</f>
        <v>663.74948295320178</v>
      </c>
      <c r="K18" s="83">
        <f>SUMPRODUCT(K14:K17,D14:D17)/D18</f>
        <v>8.4959738068293433E-2</v>
      </c>
      <c r="L18" s="84"/>
    </row>
    <row r="19" spans="1:12" ht="5.15" customHeight="1" x14ac:dyDescent="0.6">
      <c r="A19" s="81"/>
      <c r="B19" s="135"/>
      <c r="C19" s="135"/>
      <c r="D19" s="135"/>
      <c r="E19" s="135"/>
      <c r="F19" s="83"/>
      <c r="G19" s="159"/>
      <c r="H19" s="54"/>
      <c r="I19" s="72"/>
      <c r="J19" s="46"/>
      <c r="K19" s="83"/>
      <c r="L19" s="84"/>
    </row>
    <row r="20" spans="1:12" ht="12.75" customHeight="1" x14ac:dyDescent="0.6">
      <c r="A20" s="89" t="s">
        <v>384</v>
      </c>
      <c r="B20" s="135"/>
      <c r="C20" s="135"/>
      <c r="D20" s="135"/>
      <c r="E20" s="135"/>
      <c r="F20" s="83"/>
      <c r="G20" s="159"/>
      <c r="H20" s="54"/>
      <c r="I20" s="72"/>
      <c r="J20" s="46"/>
      <c r="K20" s="83"/>
      <c r="L20" s="84"/>
    </row>
    <row r="21" spans="1:12" ht="12.75" customHeight="1" x14ac:dyDescent="0.6">
      <c r="A21" s="337" t="s">
        <v>135</v>
      </c>
      <c r="B21" s="135">
        <v>52.684310797866445</v>
      </c>
      <c r="C21" s="46">
        <v>2102.961291793873</v>
      </c>
      <c r="D21" s="135">
        <v>23283.129171727665</v>
      </c>
      <c r="E21" s="135"/>
      <c r="F21" s="83">
        <f>IF(D21&lt;&gt;0,C21/D21,0)</f>
        <v>9.0321248328917303E-2</v>
      </c>
      <c r="G21" s="159"/>
      <c r="H21" s="54">
        <v>1.3820275853954722</v>
      </c>
      <c r="I21" s="72"/>
      <c r="J21" s="46">
        <f>C21*H21</f>
        <v>2906.3505162780293</v>
      </c>
      <c r="K21" s="83">
        <f>F21*(H21)</f>
        <v>0.12482645673791841</v>
      </c>
      <c r="L21" s="84"/>
    </row>
    <row r="22" spans="1:12" ht="12.75" customHeight="1" x14ac:dyDescent="0.6">
      <c r="A22" s="338" t="s">
        <v>136</v>
      </c>
      <c r="B22" s="135">
        <v>11.585289032608317</v>
      </c>
      <c r="C22" s="46">
        <v>523.61972181360261</v>
      </c>
      <c r="D22" s="135">
        <v>5163.3234624499382</v>
      </c>
      <c r="E22" s="135"/>
      <c r="F22" s="83">
        <f>IF(D22&lt;&gt;0,C22/D22,0)</f>
        <v>0.10141137304714801</v>
      </c>
      <c r="G22" s="159"/>
      <c r="H22" s="54">
        <v>1.2830218458412175</v>
      </c>
      <c r="I22" s="72"/>
      <c r="J22" s="46">
        <f>C22*H22</f>
        <v>671.81554200015319</v>
      </c>
      <c r="K22" s="83">
        <f>F22*(H22)</f>
        <v>0.13011300703624412</v>
      </c>
      <c r="L22" s="84"/>
    </row>
    <row r="23" spans="1:12" ht="12.75" customHeight="1" x14ac:dyDescent="0.6">
      <c r="A23" s="337" t="s">
        <v>137</v>
      </c>
      <c r="B23" s="135">
        <v>7.9496976194291689</v>
      </c>
      <c r="C23" s="46">
        <v>417.82391846281672</v>
      </c>
      <c r="D23" s="135">
        <v>3425.1200644597634</v>
      </c>
      <c r="E23" s="135"/>
      <c r="F23" s="83">
        <f>IF(D23&lt;&gt;0,C23/D23,0)</f>
        <v>0.12198810862086354</v>
      </c>
      <c r="G23" s="159"/>
      <c r="H23" s="54">
        <v>1.5107753644979616</v>
      </c>
      <c r="I23" s="72"/>
      <c r="J23" s="46">
        <f>C23*H23</f>
        <v>631.23808271162852</v>
      </c>
      <c r="K23" s="83">
        <f>F23*(H23)</f>
        <v>0.18429662926610205</v>
      </c>
      <c r="L23" s="84"/>
    </row>
    <row r="24" spans="1:12" ht="12.75" customHeight="1" x14ac:dyDescent="0.6">
      <c r="A24" s="337" t="s">
        <v>107</v>
      </c>
      <c r="B24" s="135">
        <v>0</v>
      </c>
      <c r="C24" s="46">
        <v>0</v>
      </c>
      <c r="D24" s="135">
        <v>0</v>
      </c>
      <c r="E24" s="135"/>
      <c r="F24" s="83">
        <f>IF(D24&lt;&gt;0,C24/D24,0)</f>
        <v>0</v>
      </c>
      <c r="G24" s="159"/>
      <c r="H24" s="54">
        <v>1.2830218458412175</v>
      </c>
      <c r="I24" s="72"/>
      <c r="J24" s="46">
        <f>C24*H24</f>
        <v>0</v>
      </c>
      <c r="K24" s="83">
        <f>F24*(H24)</f>
        <v>0</v>
      </c>
      <c r="L24" s="84"/>
    </row>
    <row r="25" spans="1:12" ht="12.75" customHeight="1" x14ac:dyDescent="0.6">
      <c r="A25" s="337" t="s">
        <v>277</v>
      </c>
      <c r="B25" s="135">
        <f>SUM(B21:B24)</f>
        <v>72.219297449903934</v>
      </c>
      <c r="C25" s="46">
        <f>SUM(C21:C24)</f>
        <v>3044.4049320702925</v>
      </c>
      <c r="D25" s="135">
        <f>SUM(D21:D24)</f>
        <v>31871.572698637367</v>
      </c>
      <c r="E25" s="135"/>
      <c r="F25" s="83">
        <f>IF(D25&lt;&gt;0,C25/D25,0)</f>
        <v>9.5521013690060316E-2</v>
      </c>
      <c r="G25" s="159"/>
      <c r="H25" s="54"/>
      <c r="I25" s="72"/>
      <c r="J25" s="46">
        <f>SUM(J21:J24)</f>
        <v>4209.4041409898109</v>
      </c>
      <c r="K25" s="83">
        <f>SUMPRODUCT(K21:K24,D21:D24)/D25</f>
        <v>0.13207393876643495</v>
      </c>
      <c r="L25" s="84"/>
    </row>
    <row r="26" spans="1:12" ht="5.15" customHeight="1" x14ac:dyDescent="0.6">
      <c r="A26" s="81"/>
      <c r="B26" s="135"/>
      <c r="C26" s="135"/>
      <c r="D26" s="135"/>
      <c r="E26" s="135"/>
      <c r="F26" s="83"/>
      <c r="G26" s="159"/>
      <c r="H26" s="54"/>
      <c r="I26" s="72"/>
      <c r="J26" s="46"/>
      <c r="K26" s="83"/>
      <c r="L26" s="84"/>
    </row>
    <row r="27" spans="1:12" ht="12.75" customHeight="1" x14ac:dyDescent="0.6">
      <c r="A27" s="21" t="s">
        <v>276</v>
      </c>
      <c r="B27" s="135"/>
      <c r="C27" s="135"/>
      <c r="D27" s="135"/>
      <c r="E27" s="135"/>
      <c r="F27" s="83"/>
      <c r="G27" s="159"/>
      <c r="H27" s="54"/>
      <c r="I27" s="72"/>
      <c r="J27" s="46"/>
      <c r="K27" s="83"/>
      <c r="L27" s="84"/>
    </row>
    <row r="28" spans="1:12" ht="12.75" customHeight="1" x14ac:dyDescent="0.6">
      <c r="A28" s="337" t="s">
        <v>135</v>
      </c>
      <c r="B28" s="135">
        <v>30.977507784218854</v>
      </c>
      <c r="C28" s="46">
        <v>1173.3760755384344</v>
      </c>
      <c r="D28" s="135">
        <v>22945.277475411684</v>
      </c>
      <c r="E28" s="135"/>
      <c r="F28" s="83">
        <f>IF(D28&lt;&gt;0,C28/D28,0)</f>
        <v>5.1138020745045781E-2</v>
      </c>
      <c r="G28" s="159"/>
      <c r="H28" s="54">
        <v>1.3820275853954722</v>
      </c>
      <c r="I28" s="72"/>
      <c r="J28" s="46">
        <f>C28*H28</f>
        <v>1621.6381044371976</v>
      </c>
      <c r="K28" s="83">
        <f>F28*(H28)</f>
        <v>7.0674155332179189E-2</v>
      </c>
      <c r="L28" s="84"/>
    </row>
    <row r="29" spans="1:12" ht="12.75" customHeight="1" x14ac:dyDescent="0.6">
      <c r="A29" s="338" t="s">
        <v>136</v>
      </c>
      <c r="B29" s="135">
        <v>16.655861990677788</v>
      </c>
      <c r="C29" s="46">
        <v>377.99751416923851</v>
      </c>
      <c r="D29" s="135">
        <v>11704.377946438623</v>
      </c>
      <c r="E29" s="135"/>
      <c r="F29" s="83">
        <f>IF(D29&lt;&gt;0,C29/D29,0)</f>
        <v>3.2295395440836275E-2</v>
      </c>
      <c r="G29" s="159"/>
      <c r="H29" s="54">
        <v>1.2830218458412175</v>
      </c>
      <c r="I29" s="72"/>
      <c r="J29" s="46">
        <f>C29*H29</f>
        <v>484.97906835280816</v>
      </c>
      <c r="K29" s="83">
        <f>F29*(H29)</f>
        <v>4.1435697870673797E-2</v>
      </c>
      <c r="L29" s="84"/>
    </row>
    <row r="30" spans="1:12" ht="12.75" customHeight="1" x14ac:dyDescent="0.6">
      <c r="A30" s="337" t="s">
        <v>137</v>
      </c>
      <c r="B30" s="135">
        <v>13.131897576755586</v>
      </c>
      <c r="C30" s="46">
        <v>1210.3849836617267</v>
      </c>
      <c r="D30" s="135">
        <v>6841.9093142250913</v>
      </c>
      <c r="E30" s="135"/>
      <c r="F30" s="83">
        <f>IF(D30&lt;&gt;0,C30/D30,0)</f>
        <v>0.17690748708773463</v>
      </c>
      <c r="G30" s="159"/>
      <c r="H30" s="54">
        <v>1.5107753644979616</v>
      </c>
      <c r="I30" s="72"/>
      <c r="J30" s="46">
        <f>C30*H30</f>
        <v>1828.6198148744043</v>
      </c>
      <c r="K30" s="83">
        <f>F30*(H30)</f>
        <v>0.2672674732873907</v>
      </c>
      <c r="L30" s="84"/>
    </row>
    <row r="31" spans="1:12" ht="12.75" customHeight="1" x14ac:dyDescent="0.6">
      <c r="A31" s="337" t="s">
        <v>107</v>
      </c>
      <c r="B31" s="135">
        <v>0.11301968811549393</v>
      </c>
      <c r="C31" s="46">
        <v>4.4094179239507492</v>
      </c>
      <c r="D31" s="135">
        <v>86.326990913614921</v>
      </c>
      <c r="E31" s="135"/>
      <c r="F31" s="83">
        <f>IF(D31&lt;&gt;0,C31/D31,0)</f>
        <v>5.10780913047593E-2</v>
      </c>
      <c r="G31" s="159"/>
      <c r="H31" s="54">
        <v>1.2830218458412175</v>
      </c>
      <c r="I31" s="72"/>
      <c r="J31" s="46">
        <f>C31*H31</f>
        <v>5.6573795238726392</v>
      </c>
      <c r="K31" s="83">
        <f>F31*(H31)</f>
        <v>6.5534306987878516E-2</v>
      </c>
      <c r="L31" s="84"/>
    </row>
    <row r="32" spans="1:12" ht="12.75" customHeight="1" x14ac:dyDescent="0.6">
      <c r="A32" s="337" t="s">
        <v>277</v>
      </c>
      <c r="B32" s="135">
        <f>SUM(B28:B31)</f>
        <v>60.87828703976772</v>
      </c>
      <c r="C32" s="46">
        <f>SUM(C28:C31)</f>
        <v>2766.1679912933505</v>
      </c>
      <c r="D32" s="135">
        <f>SUM(D28:D31)</f>
        <v>41577.891726989015</v>
      </c>
      <c r="E32" s="135"/>
      <c r="F32" s="83">
        <f>IF(D32&lt;&gt;0,C32/D32,0)</f>
        <v>6.652978004408476E-2</v>
      </c>
      <c r="G32" s="159"/>
      <c r="H32" s="54"/>
      <c r="I32" s="72"/>
      <c r="J32" s="46">
        <f>SUM(J28:J31)</f>
        <v>3940.894367188283</v>
      </c>
      <c r="K32" s="83">
        <f>SUMPRODUCT(K28:K31,D28:D31)/D32</f>
        <v>9.4783410209088884E-2</v>
      </c>
      <c r="L32" s="84"/>
    </row>
    <row r="33" spans="1:12" ht="5.15" customHeight="1" x14ac:dyDescent="0.6">
      <c r="A33" s="81"/>
      <c r="B33" s="135"/>
      <c r="C33" s="46"/>
      <c r="D33" s="135"/>
      <c r="E33" s="135"/>
      <c r="F33" s="83"/>
      <c r="G33" s="159"/>
      <c r="H33" s="54"/>
      <c r="I33" s="72"/>
      <c r="J33" s="46"/>
      <c r="K33" s="83"/>
      <c r="L33" s="84"/>
    </row>
    <row r="34" spans="1:12" ht="12.75" customHeight="1" x14ac:dyDescent="0.6">
      <c r="A34" s="89" t="s">
        <v>288</v>
      </c>
      <c r="B34" s="135"/>
      <c r="C34" s="46"/>
      <c r="D34" s="135"/>
      <c r="E34" s="135"/>
      <c r="F34" s="83"/>
      <c r="G34" s="159"/>
      <c r="H34" s="54"/>
      <c r="I34" s="72"/>
      <c r="J34" s="46"/>
      <c r="K34" s="83"/>
      <c r="L34" s="84"/>
    </row>
    <row r="35" spans="1:12" x14ac:dyDescent="0.6">
      <c r="A35" s="337" t="s">
        <v>135</v>
      </c>
      <c r="B35" s="135">
        <f t="shared" ref="B35:D38" si="0">SUM(B7,B14,B21,B28)</f>
        <v>170.29338963626242</v>
      </c>
      <c r="C35" s="46">
        <f t="shared" si="0"/>
        <v>6499.0006547902458</v>
      </c>
      <c r="D35" s="135">
        <f t="shared" si="0"/>
        <v>85811.202556382646</v>
      </c>
      <c r="E35" s="135"/>
      <c r="F35" s="83">
        <f>IF(D35&lt;&gt;0,C35/D35,0)</f>
        <v>7.5736039831396693E-2</v>
      </c>
      <c r="G35" s="159"/>
      <c r="H35" s="54">
        <v>1.3820275853954722</v>
      </c>
      <c r="I35" s="72"/>
      <c r="J35" s="46">
        <f>SUM(J7,J14,J21,J28)</f>
        <v>8981.7981824233557</v>
      </c>
      <c r="K35" s="83">
        <f>F35*(H35)</f>
        <v>0.10466929625560048</v>
      </c>
      <c r="L35" s="84"/>
    </row>
    <row r="36" spans="1:12" x14ac:dyDescent="0.6">
      <c r="A36" s="338" t="s">
        <v>136</v>
      </c>
      <c r="B36" s="135">
        <f t="shared" si="0"/>
        <v>48.896603390103678</v>
      </c>
      <c r="C36" s="46">
        <f t="shared" si="0"/>
        <v>1696.1522814469777</v>
      </c>
      <c r="D36" s="135">
        <f t="shared" si="0"/>
        <v>26331.105935971482</v>
      </c>
      <c r="E36" s="135"/>
      <c r="F36" s="83">
        <f>IF(D36&lt;&gt;0,C36/D36,0)</f>
        <v>6.4416294764506193E-2</v>
      </c>
      <c r="G36" s="159"/>
      <c r="H36" s="54">
        <v>1.2830218458412175</v>
      </c>
      <c r="I36" s="72"/>
      <c r="J36" s="46">
        <f>SUM(J8,J15,J22,J29)</f>
        <v>2176.2004309698932</v>
      </c>
      <c r="K36" s="83">
        <f>F36*(H36)</f>
        <v>8.2647513411008691E-2</v>
      </c>
      <c r="L36" s="84"/>
    </row>
    <row r="37" spans="1:12" x14ac:dyDescent="0.6">
      <c r="A37" s="337" t="s">
        <v>137</v>
      </c>
      <c r="B37" s="135">
        <f t="shared" si="0"/>
        <v>53.273581562012822</v>
      </c>
      <c r="C37" s="46">
        <f t="shared" si="0"/>
        <v>2194.3614334469689</v>
      </c>
      <c r="D37" s="135">
        <f t="shared" si="0"/>
        <v>19193.204215717982</v>
      </c>
      <c r="E37" s="135"/>
      <c r="F37" s="83">
        <f>IF(D37&lt;&gt;0,C37/D37,0)</f>
        <v>0.11433012480792186</v>
      </c>
      <c r="G37" s="159"/>
      <c r="H37" s="54">
        <v>1.5107753644979616</v>
      </c>
      <c r="I37" s="72"/>
      <c r="J37" s="46">
        <f>SUM(J9,J16,J23,J30)</f>
        <v>3315.187194456114</v>
      </c>
      <c r="K37" s="83">
        <f>F37*(H37)</f>
        <v>0.17272713597978559</v>
      </c>
      <c r="L37" s="84"/>
    </row>
    <row r="38" spans="1:12" x14ac:dyDescent="0.6">
      <c r="A38" s="337" t="s">
        <v>107</v>
      </c>
      <c r="B38" s="135">
        <f t="shared" si="0"/>
        <v>0.69819225320337119</v>
      </c>
      <c r="C38" s="46">
        <f t="shared" si="0"/>
        <v>27.239691481828245</v>
      </c>
      <c r="D38" s="135">
        <f t="shared" si="0"/>
        <v>563.47025210569996</v>
      </c>
      <c r="E38" s="135"/>
      <c r="F38" s="83">
        <f>IF(D38&lt;&gt;0,C38/D38,0)</f>
        <v>4.8342732167373441E-2</v>
      </c>
      <c r="G38" s="159"/>
      <c r="H38" s="54">
        <v>1.2830218458412175</v>
      </c>
      <c r="I38" s="72"/>
      <c r="J38" s="46">
        <f>SUM(J10,J17,J24,J31)</f>
        <v>34.949119245160567</v>
      </c>
      <c r="K38" s="83">
        <f>F38*(H38)</f>
        <v>6.2024781458391069E-2</v>
      </c>
      <c r="L38" s="84"/>
    </row>
    <row r="39" spans="1:12" x14ac:dyDescent="0.6">
      <c r="A39" s="338" t="s">
        <v>102</v>
      </c>
      <c r="B39" s="135">
        <f>SUM(B35:B38)</f>
        <v>273.16176684158233</v>
      </c>
      <c r="C39" s="46">
        <f>SUM(C35:C38)</f>
        <v>10416.754061166022</v>
      </c>
      <c r="D39" s="135">
        <f>SUM(D35:D38)</f>
        <v>131898.98296017782</v>
      </c>
      <c r="E39" s="135"/>
      <c r="F39" s="83"/>
      <c r="G39" s="159"/>
      <c r="H39" s="54"/>
      <c r="I39" s="72"/>
      <c r="J39" s="46">
        <f>SUM(J35:J38)</f>
        <v>14508.134927094523</v>
      </c>
      <c r="K39" s="83">
        <f>SUMPRODUCT(K35:K38,D35:D38)/D39</f>
        <v>0.10999428958049461</v>
      </c>
      <c r="L39" s="84"/>
    </row>
    <row r="40" spans="1:12" ht="5.15" customHeight="1" x14ac:dyDescent="0.6">
      <c r="A40" s="81"/>
      <c r="B40" s="135"/>
      <c r="C40" s="46"/>
      <c r="D40" s="135"/>
      <c r="E40" s="135"/>
      <c r="F40" s="83"/>
      <c r="G40" s="159"/>
      <c r="H40" s="54"/>
      <c r="I40" s="72"/>
      <c r="J40" s="46"/>
      <c r="K40" s="83"/>
      <c r="L40" s="84"/>
    </row>
    <row r="41" spans="1:12" x14ac:dyDescent="0.6">
      <c r="A41" s="81"/>
      <c r="B41" s="135"/>
      <c r="C41" s="46"/>
      <c r="D41" s="135"/>
      <c r="E41" s="135"/>
      <c r="F41" s="83"/>
      <c r="G41" s="159"/>
      <c r="H41" s="54"/>
      <c r="I41" s="72"/>
      <c r="J41" s="46"/>
      <c r="K41" s="83"/>
      <c r="L41" s="84"/>
    </row>
    <row r="42" spans="1:12" ht="15.5" x14ac:dyDescent="0.7">
      <c r="A42" s="158" t="s">
        <v>55</v>
      </c>
      <c r="L42" s="84"/>
    </row>
    <row r="43" spans="1:12" ht="15.5" x14ac:dyDescent="0.7">
      <c r="A43" s="158" t="s">
        <v>787</v>
      </c>
      <c r="L43" s="84"/>
    </row>
    <row r="44" spans="1:12" ht="26" x14ac:dyDescent="0.6">
      <c r="A44" s="4"/>
      <c r="B44" s="189" t="s">
        <v>248</v>
      </c>
      <c r="C44" s="146" t="s">
        <v>249</v>
      </c>
      <c r="D44" s="168" t="s">
        <v>250</v>
      </c>
      <c r="E44" s="168"/>
      <c r="F44" s="169" t="s">
        <v>207</v>
      </c>
      <c r="G44" s="159"/>
      <c r="H44" s="190" t="s">
        <v>246</v>
      </c>
      <c r="I44" s="159"/>
      <c r="J44" s="189" t="s">
        <v>110</v>
      </c>
      <c r="K44" s="41" t="s">
        <v>133</v>
      </c>
      <c r="L44" s="84"/>
    </row>
    <row r="45" spans="1:12" x14ac:dyDescent="0.6">
      <c r="A45" s="15" t="s">
        <v>385</v>
      </c>
      <c r="B45" s="135"/>
      <c r="C45" s="46"/>
      <c r="D45" s="135"/>
      <c r="E45" s="135"/>
      <c r="F45" s="83"/>
      <c r="G45" s="159"/>
      <c r="H45" s="54"/>
      <c r="I45" s="72"/>
      <c r="J45" s="46"/>
      <c r="K45" s="83"/>
      <c r="L45" s="84"/>
    </row>
    <row r="46" spans="1:12" ht="5.15" customHeight="1" x14ac:dyDescent="0.6">
      <c r="A46" s="81"/>
      <c r="B46" s="135"/>
      <c r="C46" s="46"/>
      <c r="D46" s="135"/>
      <c r="E46" s="135"/>
      <c r="F46" s="83"/>
      <c r="G46" s="159"/>
      <c r="H46" s="54"/>
      <c r="I46" s="72"/>
      <c r="J46" s="46"/>
      <c r="K46" s="83"/>
      <c r="L46" s="84"/>
    </row>
    <row r="47" spans="1:12" x14ac:dyDescent="0.6">
      <c r="A47" s="89" t="s">
        <v>386</v>
      </c>
      <c r="B47" s="135"/>
      <c r="C47" s="46"/>
      <c r="D47" s="135"/>
      <c r="E47" s="135"/>
      <c r="F47" s="41"/>
      <c r="G47" s="159"/>
      <c r="H47" s="54"/>
      <c r="I47" s="72"/>
      <c r="J47" s="42"/>
      <c r="K47" s="41"/>
      <c r="L47" s="84"/>
    </row>
    <row r="48" spans="1:12" x14ac:dyDescent="0.6">
      <c r="A48" s="337" t="s">
        <v>135</v>
      </c>
      <c r="B48" s="135">
        <v>31.057270989733706</v>
      </c>
      <c r="C48" s="46">
        <v>1075.6125629743835</v>
      </c>
      <c r="D48" s="135">
        <v>20705.093980941761</v>
      </c>
      <c r="E48" s="135"/>
      <c r="F48" s="83">
        <f>IF(D48&lt;&gt;0,C48/D48,0)</f>
        <v>5.1949175597292306E-2</v>
      </c>
      <c r="G48" s="159"/>
      <c r="H48" s="54">
        <v>1.3820275853954722</v>
      </c>
      <c r="I48" s="72"/>
      <c r="J48" s="46">
        <f>C48*H48</f>
        <v>1486.5262332285226</v>
      </c>
      <c r="K48" s="83">
        <f>F48*(H48)</f>
        <v>7.1795193714011274E-2</v>
      </c>
      <c r="L48" s="84"/>
    </row>
    <row r="49" spans="1:12" x14ac:dyDescent="0.6">
      <c r="A49" s="338" t="s">
        <v>136</v>
      </c>
      <c r="B49" s="135">
        <v>10.130852474249453</v>
      </c>
      <c r="C49" s="46">
        <v>438.66618704796957</v>
      </c>
      <c r="D49" s="135">
        <v>8527.1618278600235</v>
      </c>
      <c r="E49" s="135"/>
      <c r="F49" s="83">
        <f>IF(D49&lt;&gt;0,C49/D49,0)</f>
        <v>5.1443398859249423E-2</v>
      </c>
      <c r="G49" s="159"/>
      <c r="H49" s="54">
        <v>1.2830218458412175</v>
      </c>
      <c r="I49" s="72"/>
      <c r="J49" s="46">
        <f>C49*H49</f>
        <v>562.81830101441471</v>
      </c>
      <c r="K49" s="83">
        <f>F49*(H49)</f>
        <v>6.6003004560740181E-2</v>
      </c>
      <c r="L49" s="84"/>
    </row>
    <row r="50" spans="1:12" x14ac:dyDescent="0.6">
      <c r="A50" s="337" t="s">
        <v>137</v>
      </c>
      <c r="B50" s="53">
        <v>5.129577478371</v>
      </c>
      <c r="C50" s="46">
        <v>379.33975527552388</v>
      </c>
      <c r="D50" s="53">
        <v>3429.426356531646</v>
      </c>
      <c r="E50" s="135"/>
      <c r="F50" s="83">
        <f>IF(D50&lt;&gt;0,C50/D50,0)</f>
        <v>0.11061318011772953</v>
      </c>
      <c r="G50" s="159"/>
      <c r="H50" s="54">
        <v>1.5107753644979616</v>
      </c>
      <c r="I50" s="72"/>
      <c r="J50" s="46">
        <f>C50*H50</f>
        <v>573.09715704494715</v>
      </c>
      <c r="K50" s="83">
        <f>F50*(H50)</f>
        <v>0.16711166751064149</v>
      </c>
      <c r="L50" s="84"/>
    </row>
    <row r="51" spans="1:12" x14ac:dyDescent="0.6">
      <c r="A51" s="337" t="s">
        <v>107</v>
      </c>
      <c r="B51" s="53">
        <v>0.25153113441836705</v>
      </c>
      <c r="C51" s="46">
        <v>9.8133865968788232</v>
      </c>
      <c r="D51" s="53">
        <v>220.12946915660586</v>
      </c>
      <c r="E51" s="135"/>
      <c r="F51" s="83">
        <f>IF(D51&lt;&gt;0,C51/D51,0)</f>
        <v>4.4580067514256E-2</v>
      </c>
      <c r="G51" s="159"/>
      <c r="H51" s="54">
        <v>1.2830218458412175</v>
      </c>
      <c r="I51" s="72"/>
      <c r="J51" s="46">
        <f>C51*H51</f>
        <v>12.590789385480932</v>
      </c>
      <c r="K51" s="83">
        <f>F51*(H51)</f>
        <v>5.7197200509866826E-2</v>
      </c>
      <c r="L51" s="84"/>
    </row>
    <row r="52" spans="1:12" x14ac:dyDescent="0.6">
      <c r="A52" s="337" t="s">
        <v>277</v>
      </c>
      <c r="B52" s="53">
        <f>SUM(B48:B51)</f>
        <v>46.569232076772522</v>
      </c>
      <c r="C52" s="46">
        <f>SUM(C48:C51)</f>
        <v>1903.4318918947558</v>
      </c>
      <c r="D52" s="53">
        <f>SUM(D48:D51)</f>
        <v>32881.811634490034</v>
      </c>
      <c r="E52" s="135"/>
      <c r="F52" s="41"/>
      <c r="G52" s="159"/>
      <c r="H52" s="54"/>
      <c r="I52" s="72"/>
      <c r="J52" s="46">
        <f>SUM(J48:J51)</f>
        <v>2635.0324806733652</v>
      </c>
      <c r="K52" s="83">
        <f>SUMPRODUCT(K48:K51,D48:D51)/D52</f>
        <v>8.013647514206472E-2</v>
      </c>
      <c r="L52" s="84"/>
    </row>
    <row r="53" spans="1:12" x14ac:dyDescent="0.6">
      <c r="A53" s="21"/>
      <c r="B53" s="135"/>
      <c r="C53" s="135"/>
      <c r="D53" s="135"/>
      <c r="E53" s="135"/>
      <c r="F53" s="83"/>
      <c r="G53" s="159"/>
      <c r="H53" s="54"/>
      <c r="I53" s="72"/>
      <c r="J53" s="46"/>
      <c r="K53" s="83"/>
      <c r="L53" s="84"/>
    </row>
    <row r="54" spans="1:12" ht="5.15" customHeight="1" x14ac:dyDescent="0.6">
      <c r="B54" s="57"/>
      <c r="C54" s="57"/>
      <c r="D54" s="57"/>
      <c r="E54" s="40"/>
      <c r="F54" s="41"/>
      <c r="G54" s="159"/>
      <c r="H54" s="54"/>
      <c r="I54" s="72"/>
      <c r="J54" s="42"/>
      <c r="K54" s="41"/>
    </row>
    <row r="55" spans="1:12" x14ac:dyDescent="0.6">
      <c r="A55" s="89" t="s">
        <v>387</v>
      </c>
      <c r="B55" s="57"/>
      <c r="C55" s="57"/>
      <c r="D55" s="57"/>
      <c r="E55" s="40"/>
      <c r="F55" s="41"/>
      <c r="G55" s="159"/>
      <c r="H55" s="54"/>
      <c r="I55" s="72"/>
      <c r="J55" s="42"/>
      <c r="K55" s="41"/>
    </row>
    <row r="56" spans="1:12" x14ac:dyDescent="0.6">
      <c r="A56" s="337" t="s">
        <v>135</v>
      </c>
      <c r="B56" s="135">
        <v>21.892859529642102</v>
      </c>
      <c r="C56" s="46">
        <v>899.83001243680644</v>
      </c>
      <c r="D56" s="135">
        <v>17856.994758887351</v>
      </c>
      <c r="E56" s="135"/>
      <c r="F56" s="83">
        <f>IF(D56&lt;&gt;0,C56/D56,0)</f>
        <v>5.0390898613495133E-2</v>
      </c>
      <c r="G56" s="159"/>
      <c r="H56" s="54">
        <v>1.3820275853954722</v>
      </c>
      <c r="I56" s="72"/>
      <c r="J56" s="46">
        <f>C56*H56</f>
        <v>1243.5898993544174</v>
      </c>
      <c r="K56" s="83">
        <f>F56*(H56)</f>
        <v>6.9641611936716724E-2</v>
      </c>
    </row>
    <row r="57" spans="1:12" x14ac:dyDescent="0.6">
      <c r="A57" s="338" t="s">
        <v>136</v>
      </c>
      <c r="B57" s="135">
        <v>10.503398946022596</v>
      </c>
      <c r="C57" s="46">
        <v>441.88358644954064</v>
      </c>
      <c r="D57" s="135">
        <v>8564.4851885999487</v>
      </c>
      <c r="E57" s="135"/>
      <c r="F57" s="83">
        <f>IF(D57&lt;&gt;0,C57/D57,0)</f>
        <v>5.1594880102977456E-2</v>
      </c>
      <c r="G57" s="159"/>
      <c r="H57" s="54">
        <v>1.2830218458412175</v>
      </c>
      <c r="I57" s="72"/>
      <c r="J57" s="46">
        <f>C57*H57</f>
        <v>566.94629473342684</v>
      </c>
      <c r="K57" s="83">
        <f>F57*(H57)</f>
        <v>6.6197358305678439E-2</v>
      </c>
    </row>
    <row r="58" spans="1:12" x14ac:dyDescent="0.6">
      <c r="A58" s="337" t="s">
        <v>137</v>
      </c>
      <c r="B58" s="53">
        <v>3.1191814866485119</v>
      </c>
      <c r="C58" s="46">
        <v>97.850020958326382</v>
      </c>
      <c r="D58" s="53">
        <v>2641.6012863831879</v>
      </c>
      <c r="E58" s="135"/>
      <c r="F58" s="83">
        <f>IF(D58&lt;&gt;0,C58/D58,0)</f>
        <v>3.7041934171791725E-2</v>
      </c>
      <c r="G58" s="159"/>
      <c r="H58" s="54">
        <v>1.5107753644979616</v>
      </c>
      <c r="I58" s="72"/>
      <c r="J58" s="46">
        <f>C58*H58</f>
        <v>147.82940107944873</v>
      </c>
      <c r="K58" s="83">
        <f>F58*(H58)</f>
        <v>5.5962041600098142E-2</v>
      </c>
    </row>
    <row r="59" spans="1:12" x14ac:dyDescent="0.6">
      <c r="A59" s="337" t="s">
        <v>107</v>
      </c>
      <c r="B59" s="53">
        <v>0</v>
      </c>
      <c r="C59" s="46">
        <v>0</v>
      </c>
      <c r="D59" s="53">
        <v>0</v>
      </c>
      <c r="E59" s="135"/>
      <c r="F59" s="83">
        <f>IF(D59&lt;&gt;0,C59/D59,0)</f>
        <v>0</v>
      </c>
      <c r="G59" s="159"/>
      <c r="H59" s="54">
        <v>1.2830218458412175</v>
      </c>
      <c r="I59" s="72"/>
      <c r="J59" s="46">
        <f>C59*H59</f>
        <v>0</v>
      </c>
      <c r="K59" s="83">
        <f>F59*(H59)</f>
        <v>0</v>
      </c>
    </row>
    <row r="60" spans="1:12" x14ac:dyDescent="0.6">
      <c r="A60" s="337" t="s">
        <v>277</v>
      </c>
      <c r="B60" s="53">
        <f>SUM(B56:B59)</f>
        <v>35.515439962313209</v>
      </c>
      <c r="C60" s="46">
        <f>SUM(C56:C59)</f>
        <v>1439.5636198446734</v>
      </c>
      <c r="D60" s="53">
        <f>SUM(D56:D59)</f>
        <v>29063.081233870489</v>
      </c>
      <c r="E60" s="135"/>
      <c r="F60" s="41"/>
      <c r="G60" s="159"/>
      <c r="H60" s="54"/>
      <c r="I60" s="72"/>
      <c r="J60" s="46">
        <f>SUM(J56:J59)</f>
        <v>1958.3655951672929</v>
      </c>
      <c r="K60" s="83">
        <f>SUMPRODUCT(K56:K59,D56:D59)/D60</f>
        <v>6.7383275001309514E-2</v>
      </c>
    </row>
    <row r="61" spans="1:12" ht="5.15" customHeight="1" x14ac:dyDescent="0.6">
      <c r="B61" s="135"/>
      <c r="C61" s="135"/>
      <c r="D61" s="135"/>
      <c r="E61" s="135"/>
      <c r="F61" s="41"/>
      <c r="G61" s="159"/>
      <c r="H61" s="54"/>
      <c r="I61" s="72"/>
      <c r="J61" s="42"/>
      <c r="K61" s="41"/>
    </row>
    <row r="62" spans="1:12" x14ac:dyDescent="0.6">
      <c r="A62" s="89" t="s">
        <v>388</v>
      </c>
      <c r="B62" s="11"/>
      <c r="C62" s="11"/>
      <c r="D62" s="11"/>
      <c r="E62" s="11"/>
      <c r="F62" s="11"/>
      <c r="G62" s="11"/>
      <c r="I62" s="11"/>
      <c r="J62" s="11"/>
      <c r="K62" s="11"/>
    </row>
    <row r="63" spans="1:12" x14ac:dyDescent="0.6">
      <c r="A63" s="337" t="s">
        <v>135</v>
      </c>
      <c r="B63" s="135">
        <v>34.98984173778144</v>
      </c>
      <c r="C63" s="46">
        <v>1444.2151795318084</v>
      </c>
      <c r="D63" s="135">
        <v>28679.61437059924</v>
      </c>
      <c r="E63" s="11"/>
      <c r="F63" s="83">
        <f>IF(D63&lt;&gt;0,C63/D63,0)</f>
        <v>5.0356854902914534E-2</v>
      </c>
      <c r="G63" s="11"/>
      <c r="H63" s="54">
        <v>1.3820275853954722</v>
      </c>
      <c r="I63" s="11"/>
      <c r="J63" s="46">
        <f>C63*H63</f>
        <v>1995.9452173598336</v>
      </c>
      <c r="K63" s="83">
        <f>F63*(H63)</f>
        <v>6.9594562589585116E-2</v>
      </c>
    </row>
    <row r="64" spans="1:12" x14ac:dyDescent="0.6">
      <c r="A64" s="338" t="s">
        <v>136</v>
      </c>
      <c r="B64" s="135">
        <v>15.040265452511605</v>
      </c>
      <c r="C64" s="46">
        <v>671.73313857971573</v>
      </c>
      <c r="D64" s="135">
        <v>13097.725883124507</v>
      </c>
      <c r="E64" s="11"/>
      <c r="F64" s="83">
        <f>IF(D64&lt;&gt;0,C64/D64,0)</f>
        <v>5.1286241945649229E-2</v>
      </c>
      <c r="G64" s="11"/>
      <c r="H64" s="54">
        <v>1.2830218458412175</v>
      </c>
      <c r="I64" s="11"/>
      <c r="J64" s="46">
        <f>C64*H64</f>
        <v>861.84829137326119</v>
      </c>
      <c r="K64" s="83">
        <f>F64*(H64)</f>
        <v>6.5801368807366145E-2</v>
      </c>
    </row>
    <row r="65" spans="1:13" x14ac:dyDescent="0.6">
      <c r="A65" s="337" t="s">
        <v>137</v>
      </c>
      <c r="B65" s="53">
        <v>9.6676472579822512</v>
      </c>
      <c r="C65" s="46">
        <v>1047.4418994897401</v>
      </c>
      <c r="D65" s="53">
        <v>5070.8580694504299</v>
      </c>
      <c r="E65" s="11"/>
      <c r="F65" s="83">
        <f>IF(D65&lt;&gt;0,C65/D65,0)</f>
        <v>0.20656107608297936</v>
      </c>
      <c r="G65" s="11"/>
      <c r="H65" s="54">
        <v>1.5107753644979616</v>
      </c>
      <c r="I65" s="11"/>
      <c r="J65" s="46">
        <f>C65*H65</f>
        <v>1582.4494174920494</v>
      </c>
      <c r="K65" s="83">
        <f>F65*(H65)</f>
        <v>0.3120673850103543</v>
      </c>
    </row>
    <row r="66" spans="1:13" x14ac:dyDescent="0.6">
      <c r="A66" s="337" t="s">
        <v>107</v>
      </c>
      <c r="B66" s="53">
        <v>0.32958405577530536</v>
      </c>
      <c r="C66" s="46">
        <v>12.858590102451227</v>
      </c>
      <c r="D66" s="53">
        <v>288.43810293331779</v>
      </c>
      <c r="E66" s="11"/>
      <c r="F66" s="83">
        <f>IF(D66&lt;&gt;0,C66/D66,0)</f>
        <v>4.4580067514255993E-2</v>
      </c>
      <c r="G66" s="11"/>
      <c r="H66" s="54">
        <v>1.2830218458412175</v>
      </c>
      <c r="I66" s="11"/>
      <c r="J66" s="46">
        <f>C66*H66</f>
        <v>16.497852008162585</v>
      </c>
      <c r="K66" s="83">
        <f>F66*(H66)</f>
        <v>5.7197200509866819E-2</v>
      </c>
    </row>
    <row r="67" spans="1:13" x14ac:dyDescent="0.6">
      <c r="A67" s="337" t="s">
        <v>277</v>
      </c>
      <c r="B67" s="53">
        <f>SUM(B63:B66)</f>
        <v>60.027338504050604</v>
      </c>
      <c r="C67" s="46">
        <f>SUM(C63:C66)</f>
        <v>3176.2488077037156</v>
      </c>
      <c r="D67" s="53">
        <f>SUM(D63:D66)</f>
        <v>47136.636426107492</v>
      </c>
      <c r="E67" s="11"/>
      <c r="F67" s="11"/>
      <c r="G67" s="11"/>
      <c r="I67" s="11"/>
      <c r="J67" s="46">
        <f>SUM(J63:J66)</f>
        <v>4456.7407782333066</v>
      </c>
      <c r="K67" s="83">
        <f>SUMPRODUCT(K63:K66,D63:D66)/D67</f>
        <v>9.4549401827171087E-2</v>
      </c>
    </row>
    <row r="68" spans="1:13" ht="5.15" customHeight="1" x14ac:dyDescent="0.6">
      <c r="A68" s="21"/>
      <c r="B68" s="135"/>
      <c r="C68" s="46"/>
      <c r="D68" s="135"/>
      <c r="E68" s="135"/>
      <c r="F68" s="41"/>
      <c r="G68" s="159"/>
      <c r="H68" s="54"/>
      <c r="I68" s="72"/>
      <c r="J68" s="42"/>
      <c r="K68" s="41"/>
    </row>
    <row r="69" spans="1:13" ht="12.75" customHeight="1" x14ac:dyDescent="0.6">
      <c r="A69" s="89" t="s">
        <v>389</v>
      </c>
      <c r="B69" s="135"/>
      <c r="C69" s="46"/>
      <c r="D69" s="135"/>
      <c r="E69" s="135"/>
      <c r="F69" s="83"/>
      <c r="G69" s="159"/>
      <c r="H69" s="54"/>
      <c r="I69" s="72"/>
      <c r="J69" s="46"/>
      <c r="K69" s="83"/>
    </row>
    <row r="70" spans="1:13" ht="12.75" customHeight="1" x14ac:dyDescent="0.6">
      <c r="A70" s="337" t="s">
        <v>135</v>
      </c>
      <c r="B70" s="135">
        <f t="shared" ref="B70:D73" si="1">SUM(B48,B56,B63)</f>
        <v>87.939972257157251</v>
      </c>
      <c r="C70" s="46">
        <f t="shared" si="1"/>
        <v>3419.6577549429985</v>
      </c>
      <c r="D70" s="135">
        <f t="shared" si="1"/>
        <v>67241.703110428352</v>
      </c>
      <c r="E70" s="135"/>
      <c r="F70" s="83">
        <f>IF(D70&lt;&gt;0,C70/D70,0)</f>
        <v>5.0856203765794444E-2</v>
      </c>
      <c r="G70" s="159"/>
      <c r="H70" s="54">
        <v>1.3820275853954722</v>
      </c>
      <c r="I70" s="72"/>
      <c r="J70" s="46">
        <f>C70*H70</f>
        <v>4726.0613499427736</v>
      </c>
      <c r="K70" s="83">
        <f>F70*(H70)</f>
        <v>7.028467649282101E-2</v>
      </c>
    </row>
    <row r="71" spans="1:13" ht="12.75" customHeight="1" x14ac:dyDescent="0.6">
      <c r="A71" s="338" t="s">
        <v>136</v>
      </c>
      <c r="B71" s="135">
        <f t="shared" si="1"/>
        <v>35.674516872783656</v>
      </c>
      <c r="C71" s="46">
        <f t="shared" si="1"/>
        <v>1552.2829120772258</v>
      </c>
      <c r="D71" s="135">
        <f t="shared" si="1"/>
        <v>30189.372899584479</v>
      </c>
      <c r="E71" s="135"/>
      <c r="F71" s="83">
        <f>IF(D71&lt;&gt;0,C71/D71,0)</f>
        <v>5.141819001144575E-2</v>
      </c>
      <c r="G71" s="159"/>
      <c r="H71" s="54">
        <v>1.2830218458412175</v>
      </c>
      <c r="I71" s="72"/>
      <c r="J71" s="46">
        <f>C71*H71</f>
        <v>1991.6128871211024</v>
      </c>
      <c r="K71" s="83">
        <f>F71*(H71)</f>
        <v>6.5970661058299573E-2</v>
      </c>
    </row>
    <row r="72" spans="1:13" ht="12.75" customHeight="1" x14ac:dyDescent="0.6">
      <c r="A72" s="337" t="s">
        <v>137</v>
      </c>
      <c r="B72" s="135">
        <f t="shared" si="1"/>
        <v>17.916406223001765</v>
      </c>
      <c r="C72" s="46">
        <f t="shared" si="1"/>
        <v>1524.6316757235904</v>
      </c>
      <c r="D72" s="135">
        <f t="shared" si="1"/>
        <v>11141.885712365263</v>
      </c>
      <c r="E72" s="135"/>
      <c r="F72" s="83">
        <f>IF(D72&lt;&gt;0,C72/D72,0)</f>
        <v>0.13683784909331412</v>
      </c>
      <c r="G72" s="159"/>
      <c r="H72" s="54">
        <v>1.5107753644979616</v>
      </c>
      <c r="I72" s="72"/>
      <c r="J72" s="46">
        <f>C72*H72</f>
        <v>2303.3759756164454</v>
      </c>
      <c r="K72" s="83">
        <f>F72*(H72)</f>
        <v>0.20673125134106871</v>
      </c>
    </row>
    <row r="73" spans="1:13" ht="12.75" customHeight="1" x14ac:dyDescent="0.6">
      <c r="A73" s="337" t="s">
        <v>107</v>
      </c>
      <c r="B73" s="135">
        <f t="shared" si="1"/>
        <v>0.58111519019367242</v>
      </c>
      <c r="C73" s="46">
        <f t="shared" si="1"/>
        <v>22.671976699330052</v>
      </c>
      <c r="D73" s="135">
        <f t="shared" si="1"/>
        <v>508.56757208992366</v>
      </c>
      <c r="E73" s="135"/>
      <c r="F73" s="83">
        <f>IF(D73&lt;&gt;0,C73/D73,0)</f>
        <v>4.4580067514256E-2</v>
      </c>
      <c r="G73" s="159"/>
      <c r="H73" s="54">
        <v>1.2830218458412175</v>
      </c>
      <c r="I73" s="72"/>
      <c r="J73" s="46">
        <f>C73*H73</f>
        <v>29.088641393643517</v>
      </c>
      <c r="K73" s="83">
        <f>F73*(H73)</f>
        <v>5.7197200509866826E-2</v>
      </c>
    </row>
    <row r="74" spans="1:13" ht="12.75" customHeight="1" x14ac:dyDescent="0.6">
      <c r="A74" s="337" t="s">
        <v>102</v>
      </c>
      <c r="B74" s="135">
        <f>SUM(B70:B73)</f>
        <v>142.11201054313636</v>
      </c>
      <c r="C74" s="46">
        <f>SUM(C70:C73)</f>
        <v>6519.2443194431453</v>
      </c>
      <c r="D74" s="135">
        <f>SUM(D70:D73)</f>
        <v>109081.52929446803</v>
      </c>
      <c r="E74" s="135"/>
      <c r="F74" s="41"/>
      <c r="G74" s="159"/>
      <c r="H74" s="54"/>
      <c r="I74" s="72"/>
      <c r="J74" s="46">
        <f>SUM(J70:J73)</f>
        <v>9050.1388540739663</v>
      </c>
      <c r="K74" s="83">
        <f>SUMPRODUCT(K70:K73,D70:D73)/D74</f>
        <v>8.2966739764373049E-2</v>
      </c>
    </row>
    <row r="75" spans="1:13" ht="5.15" customHeight="1" x14ac:dyDescent="0.6">
      <c r="A75" s="21"/>
      <c r="B75" s="135"/>
      <c r="C75" s="46"/>
      <c r="D75" s="135"/>
      <c r="E75" s="135"/>
      <c r="F75" s="41"/>
      <c r="G75" s="159"/>
      <c r="H75" s="54"/>
      <c r="I75" s="72"/>
      <c r="J75" s="42"/>
      <c r="K75" s="41"/>
    </row>
    <row r="76" spans="1:13" x14ac:dyDescent="0.6">
      <c r="A76" s="81"/>
      <c r="B76" s="135"/>
      <c r="C76" s="46"/>
      <c r="D76" s="135"/>
      <c r="E76" s="135"/>
      <c r="F76" s="83"/>
      <c r="G76" s="159"/>
      <c r="H76" s="54"/>
      <c r="I76" s="72"/>
      <c r="J76" s="46"/>
      <c r="K76" s="83"/>
      <c r="L76" s="84"/>
    </row>
    <row r="77" spans="1:13" x14ac:dyDescent="0.6">
      <c r="A77" s="15" t="s">
        <v>285</v>
      </c>
      <c r="B77" s="48"/>
      <c r="C77" s="42"/>
      <c r="D77" s="40"/>
      <c r="E77" s="40"/>
      <c r="F77" s="41"/>
      <c r="G77" s="159"/>
      <c r="H77" s="54"/>
      <c r="I77" s="72"/>
      <c r="J77" s="42"/>
      <c r="K77" s="41"/>
    </row>
    <row r="78" spans="1:13" x14ac:dyDescent="0.6">
      <c r="A78" s="337" t="s">
        <v>135</v>
      </c>
      <c r="B78" s="135">
        <v>338.96788824445827</v>
      </c>
      <c r="C78" s="46">
        <v>15185.681565688872</v>
      </c>
      <c r="D78" s="135">
        <v>432752.31959650811</v>
      </c>
      <c r="E78" s="135"/>
      <c r="F78" s="83">
        <f>IF(D78&lt;&gt;0,C78/D78,0)</f>
        <v>3.5090930488478438E-2</v>
      </c>
      <c r="G78" s="159"/>
      <c r="H78" s="54">
        <v>1.3820275853954722</v>
      </c>
      <c r="I78" s="72"/>
      <c r="J78" s="46">
        <f>C78*H78</f>
        <v>20987.030826813527</v>
      </c>
      <c r="K78" s="83">
        <f>F78*(H78)</f>
        <v>4.8496633932272215E-2</v>
      </c>
      <c r="M78" s="63"/>
    </row>
    <row r="79" spans="1:13" x14ac:dyDescent="0.6">
      <c r="A79" s="338" t="s">
        <v>136</v>
      </c>
      <c r="B79" s="135">
        <v>96.232422589777428</v>
      </c>
      <c r="C79" s="46">
        <v>4022.9217365560644</v>
      </c>
      <c r="D79" s="135">
        <v>122697.22700083934</v>
      </c>
      <c r="E79" s="135"/>
      <c r="F79" s="83">
        <f>IF(D79&lt;&gt;0,C79/D79,0)</f>
        <v>3.2787389209118348E-2</v>
      </c>
      <c r="G79" s="159"/>
      <c r="H79" s="54">
        <v>1.2830218458412175</v>
      </c>
      <c r="I79" s="72"/>
      <c r="J79" s="46">
        <f>C79*H79</f>
        <v>5161.4964721109181</v>
      </c>
      <c r="K79" s="83">
        <f>F79*(H79)</f>
        <v>4.2066936623397437E-2</v>
      </c>
      <c r="M79" s="63"/>
    </row>
    <row r="80" spans="1:13" x14ac:dyDescent="0.6">
      <c r="A80" s="337" t="s">
        <v>137</v>
      </c>
      <c r="B80" s="135">
        <v>25.517833644594319</v>
      </c>
      <c r="C80" s="46">
        <v>1100.471886623317</v>
      </c>
      <c r="D80" s="135">
        <v>29488.202133919858</v>
      </c>
      <c r="E80" s="135"/>
      <c r="F80" s="83">
        <f>IF(D80&lt;&gt;0,C80/D80,0)</f>
        <v>3.7319056673090961E-2</v>
      </c>
      <c r="G80" s="159"/>
      <c r="H80" s="54">
        <v>1.5107753644979616</v>
      </c>
      <c r="I80" s="72"/>
      <c r="J80" s="46">
        <f>C80*H80</f>
        <v>1662.5658156331012</v>
      </c>
      <c r="K80" s="83">
        <f>F80*(H80)</f>
        <v>5.6380711448009081E-2</v>
      </c>
      <c r="M80" s="63"/>
    </row>
    <row r="81" spans="1:20" x14ac:dyDescent="0.6">
      <c r="A81" s="337" t="s">
        <v>107</v>
      </c>
      <c r="B81" s="135">
        <v>3.5400449079825909</v>
      </c>
      <c r="C81" s="46">
        <v>138.11343606697758</v>
      </c>
      <c r="D81" s="135">
        <v>2426.6440979342779</v>
      </c>
      <c r="E81" s="135"/>
      <c r="F81" s="83">
        <f>IF(D81&lt;&gt;0,C81/D81,0)</f>
        <v>5.691540683058921E-2</v>
      </c>
      <c r="G81" s="159"/>
      <c r="H81" s="54">
        <v>1.2830218458412175</v>
      </c>
      <c r="I81" s="72"/>
      <c r="J81" s="46">
        <f>C81*H81</f>
        <v>177.20255567812657</v>
      </c>
      <c r="K81" s="83">
        <f>F81*(H81)</f>
        <v>7.30237103285864E-2</v>
      </c>
      <c r="M81" s="63"/>
    </row>
    <row r="82" spans="1:20" x14ac:dyDescent="0.6">
      <c r="A82" s="337" t="s">
        <v>102</v>
      </c>
      <c r="B82" s="135">
        <f>SUM(B78:B81)</f>
        <v>464.25818938681255</v>
      </c>
      <c r="C82" s="46">
        <f>SUM(C78:C81)</f>
        <v>20447.188624935232</v>
      </c>
      <c r="D82" s="135">
        <f>SUM(D78:D81)</f>
        <v>587364.39282920153</v>
      </c>
      <c r="E82" s="135"/>
      <c r="F82" s="83">
        <f>IF(D82&lt;&gt;0,C82/D82,0)</f>
        <v>3.4811760594553147E-2</v>
      </c>
      <c r="G82" s="159"/>
      <c r="H82" s="54"/>
      <c r="I82" s="72"/>
      <c r="J82" s="46">
        <f>SUM(J78:J81)</f>
        <v>27988.295670235671</v>
      </c>
      <c r="K82" s="83">
        <f>SUMPRODUCT(K78:K81,D78:D81)/D82</f>
        <v>4.7650650962041428E-2</v>
      </c>
      <c r="M82" s="63"/>
    </row>
    <row r="83" spans="1:20" ht="5.15" customHeight="1" x14ac:dyDescent="0.6">
      <c r="B83" s="57"/>
      <c r="C83" s="46"/>
      <c r="D83" s="44"/>
      <c r="E83" s="44"/>
      <c r="F83" s="45"/>
      <c r="G83" s="23"/>
      <c r="H83" s="55"/>
      <c r="I83" s="79"/>
      <c r="J83" s="46"/>
      <c r="K83" s="41"/>
    </row>
    <row r="84" spans="1:20" ht="12.75" customHeight="1" x14ac:dyDescent="0.6"/>
    <row r="85" spans="1:20" ht="15.5" x14ac:dyDescent="0.7">
      <c r="A85" s="158" t="s">
        <v>56</v>
      </c>
    </row>
    <row r="86" spans="1:20" ht="15.5" x14ac:dyDescent="0.7">
      <c r="A86" s="158" t="s">
        <v>787</v>
      </c>
    </row>
    <row r="87" spans="1:20" ht="26" x14ac:dyDescent="0.6">
      <c r="A87" s="4"/>
      <c r="B87" s="189" t="s">
        <v>223</v>
      </c>
      <c r="C87" s="146" t="s">
        <v>217</v>
      </c>
      <c r="D87" s="168" t="s">
        <v>222</v>
      </c>
      <c r="E87" s="168"/>
      <c r="F87" s="169" t="s">
        <v>207</v>
      </c>
      <c r="G87" s="159"/>
      <c r="H87" s="190" t="s">
        <v>246</v>
      </c>
      <c r="I87" s="159"/>
      <c r="J87" s="189" t="s">
        <v>110</v>
      </c>
      <c r="K87" s="41" t="s">
        <v>133</v>
      </c>
    </row>
    <row r="88" spans="1:20" x14ac:dyDescent="0.6">
      <c r="A88" s="25" t="s">
        <v>390</v>
      </c>
      <c r="B88" s="57"/>
      <c r="C88" s="46"/>
      <c r="D88" s="44"/>
      <c r="E88" s="44"/>
      <c r="F88" s="45"/>
      <c r="G88" s="23"/>
      <c r="H88" s="55"/>
      <c r="I88" s="79"/>
      <c r="J88" s="46"/>
      <c r="K88" s="41"/>
      <c r="N88" s="63"/>
    </row>
    <row r="89" spans="1:20" x14ac:dyDescent="0.6">
      <c r="A89" s="21" t="s">
        <v>186</v>
      </c>
      <c r="B89" s="57"/>
      <c r="C89" s="46"/>
      <c r="D89" s="44"/>
      <c r="E89" s="44"/>
      <c r="F89" s="45"/>
      <c r="G89" s="23"/>
      <c r="H89" s="55"/>
      <c r="I89" s="79"/>
      <c r="J89" s="46"/>
      <c r="K89" s="41"/>
      <c r="N89" s="63"/>
    </row>
    <row r="90" spans="1:20" x14ac:dyDescent="0.6">
      <c r="A90" s="81" t="s">
        <v>138</v>
      </c>
      <c r="B90" s="56" t="s">
        <v>106</v>
      </c>
      <c r="C90" s="46">
        <f>'Table 3.14-Route UAA'!C90*SUM($D$103,$D$109)/SUM($D$103,$D$109,'Table 3.16-Route UAA PARS'!$D$103,'Table 3.16-Route UAA PARS'!$D$109)</f>
        <v>138.61599426157264</v>
      </c>
      <c r="D90" s="40">
        <f>'Table 3.14-Route UAA'!D90*SUM($D$103,$D$109)/SUM($D$103,$D$109,'Table 3.16-Route UAA PARS'!$D$103,'Table 3.16-Route UAA PARS'!$D$109)</f>
        <v>2490.701960264033</v>
      </c>
      <c r="E90" s="184" t="s">
        <v>239</v>
      </c>
      <c r="F90" s="83">
        <f>IF(D90&lt;&gt;0,C90/D90,0)</f>
        <v>5.5653384657423366E-2</v>
      </c>
      <c r="G90" s="285" t="s">
        <v>240</v>
      </c>
      <c r="H90" s="54">
        <v>1.3727750819950504</v>
      </c>
      <c r="I90" s="72"/>
      <c r="J90" s="46">
        <f>C90*H90</f>
        <v>190.2885828882558</v>
      </c>
      <c r="K90" s="83">
        <f>F90*(H90)</f>
        <v>7.6399579686396435E-2</v>
      </c>
      <c r="P90" s="140"/>
      <c r="Q90" s="140"/>
      <c r="R90" s="140"/>
      <c r="S90" s="140"/>
      <c r="T90" s="140"/>
    </row>
    <row r="91" spans="1:20" x14ac:dyDescent="0.6">
      <c r="A91" s="81" t="s">
        <v>781</v>
      </c>
      <c r="B91" s="56" t="s">
        <v>106</v>
      </c>
      <c r="C91" s="46">
        <f>'Table 3.14-Route UAA'!C91*SUM($D$103,$D$109)/SUM($D$103,$D$109,'Table 3.16-Route UAA PARS'!$D$103,'Table 3.16-Route UAA PARS'!$D$109)</f>
        <v>563.30997734434777</v>
      </c>
      <c r="D91" s="40">
        <f>'Table 3.14-Route UAA'!D91*SUM($D$103,$D$109)/SUM($D$103,$D$109,'Table 3.16-Route UAA PARS'!$D$103,'Table 3.16-Route UAA PARS'!$D$109)</f>
        <v>2490.701960264033</v>
      </c>
      <c r="E91" s="184" t="s">
        <v>239</v>
      </c>
      <c r="F91" s="83">
        <f>IF(D91&lt;&gt;0,C91/D91,0)</f>
        <v>0.2261651479507539</v>
      </c>
      <c r="G91" s="285" t="s">
        <v>240</v>
      </c>
      <c r="H91" s="340">
        <v>1.7516721267338493</v>
      </c>
      <c r="I91" s="72"/>
      <c r="J91" s="46">
        <f>C91*H91</f>
        <v>986.73438602517012</v>
      </c>
      <c r="K91" s="83">
        <f>F91*(H91)</f>
        <v>0.39616718570397275</v>
      </c>
      <c r="L91" s="64"/>
      <c r="M91" s="442"/>
    </row>
    <row r="92" spans="1:20" x14ac:dyDescent="0.6">
      <c r="A92" s="21" t="s">
        <v>187</v>
      </c>
      <c r="B92" s="56"/>
      <c r="C92" s="46"/>
      <c r="D92" s="40"/>
      <c r="E92" s="40"/>
      <c r="F92" s="41"/>
      <c r="G92" s="159"/>
      <c r="H92" s="54"/>
      <c r="I92" s="72"/>
      <c r="J92" s="42"/>
      <c r="K92" s="41"/>
    </row>
    <row r="93" spans="1:20" x14ac:dyDescent="0.6">
      <c r="A93" s="81" t="s">
        <v>138</v>
      </c>
      <c r="B93" s="56" t="s">
        <v>106</v>
      </c>
      <c r="C93" s="46">
        <f>'Table 3.14-Route UAA'!C93*$D$111/SUM($D$111,'Table 3.16-Route UAA PARS'!$D$111)</f>
        <v>64.567565324329792</v>
      </c>
      <c r="D93" s="40">
        <f>'Table 3.14-Route UAA'!D93*$D$111/SUM($D$111,'Table 3.16-Route UAA PARS'!$D$111)</f>
        <v>1267.1329594694141</v>
      </c>
      <c r="E93" s="184" t="s">
        <v>239</v>
      </c>
      <c r="F93" s="83">
        <f>IF(D93&lt;&gt;0,C93/D93,0)</f>
        <v>5.0955635588049206E-2</v>
      </c>
      <c r="G93" s="285" t="s">
        <v>240</v>
      </c>
      <c r="H93" s="54">
        <v>1.3727750819950504</v>
      </c>
      <c r="I93" s="72"/>
      <c r="J93" s="46">
        <f>C93*H93</f>
        <v>88.636744782327597</v>
      </c>
      <c r="K93" s="83">
        <f>F93*(H93)</f>
        <v>6.9950626822494158E-2</v>
      </c>
    </row>
    <row r="94" spans="1:20" x14ac:dyDescent="0.6">
      <c r="A94" s="81" t="s">
        <v>781</v>
      </c>
      <c r="B94" s="56" t="s">
        <v>106</v>
      </c>
      <c r="C94" s="46">
        <f>'Table 3.14-Route UAA'!C94*$D$111/SUM($D$111,'Table 3.16-Route UAA PARS'!$D$111)</f>
        <v>132.04351062360746</v>
      </c>
      <c r="D94" s="40">
        <f>'Table 3.14-Route UAA'!D94*$D$111/SUM($D$111,'Table 3.16-Route UAA PARS'!$D$111)</f>
        <v>1267.1329594694141</v>
      </c>
      <c r="E94" s="184" t="s">
        <v>239</v>
      </c>
      <c r="F94" s="83">
        <f>IF(D94&lt;&gt;0,C94/D94,0)</f>
        <v>0.10420651569105895</v>
      </c>
      <c r="G94" s="285" t="s">
        <v>240</v>
      </c>
      <c r="H94" s="340">
        <v>1.7516721267338493</v>
      </c>
      <c r="I94" s="79"/>
      <c r="J94" s="46">
        <f>C94*H94</f>
        <v>231.29693707545812</v>
      </c>
      <c r="K94" s="83">
        <f>F94*(H94)</f>
        <v>0.18253564896008145</v>
      </c>
      <c r="L94" s="64"/>
      <c r="M94" s="442"/>
    </row>
    <row r="95" spans="1:20" x14ac:dyDescent="0.6">
      <c r="A95" s="81"/>
      <c r="B95" s="57"/>
      <c r="C95" s="46"/>
      <c r="D95" s="44"/>
      <c r="E95" s="44"/>
      <c r="F95" s="45"/>
      <c r="G95" s="23"/>
      <c r="H95" s="55"/>
      <c r="I95" s="79"/>
      <c r="J95" s="46"/>
      <c r="K95" s="41"/>
    </row>
    <row r="96" spans="1:20" x14ac:dyDescent="0.6">
      <c r="A96" s="25" t="s">
        <v>391</v>
      </c>
      <c r="B96" s="57"/>
      <c r="C96" s="46"/>
      <c r="D96" s="44"/>
      <c r="E96" s="44"/>
      <c r="F96" s="45"/>
      <c r="G96" s="23"/>
      <c r="H96" s="55"/>
      <c r="I96" s="79"/>
      <c r="J96" s="46"/>
      <c r="K96" s="41"/>
    </row>
    <row r="97" spans="1:12" ht="5.15" customHeight="1" x14ac:dyDescent="0.6">
      <c r="A97" s="25"/>
      <c r="B97" s="57"/>
      <c r="C97" s="46"/>
      <c r="D97" s="44"/>
      <c r="E97" s="44"/>
      <c r="F97" s="45"/>
      <c r="G97" s="23"/>
      <c r="H97" s="55"/>
      <c r="I97" s="79"/>
      <c r="J97" s="46"/>
      <c r="K97" s="41"/>
    </row>
    <row r="98" spans="1:12" x14ac:dyDescent="0.6">
      <c r="A98" s="82" t="s">
        <v>284</v>
      </c>
      <c r="B98" s="57"/>
      <c r="C98" s="46"/>
      <c r="D98" s="44"/>
      <c r="E98" s="44"/>
      <c r="F98" s="45"/>
      <c r="G98" s="23"/>
      <c r="H98" s="55"/>
      <c r="I98" s="79"/>
      <c r="J98" s="46"/>
      <c r="K98" s="41"/>
      <c r="L98" s="47"/>
    </row>
    <row r="99" spans="1:12" x14ac:dyDescent="0.6">
      <c r="A99" s="338" t="s">
        <v>280</v>
      </c>
      <c r="B99" s="56" t="s">
        <v>106</v>
      </c>
      <c r="C99" s="46" t="s">
        <v>106</v>
      </c>
      <c r="D99" s="40">
        <f>D11</f>
        <v>50637.000534323401</v>
      </c>
      <c r="E99" s="40"/>
      <c r="F99" s="56" t="s">
        <v>106</v>
      </c>
      <c r="G99" s="159"/>
      <c r="H99" s="56" t="s">
        <v>106</v>
      </c>
      <c r="I99" s="72"/>
      <c r="J99" s="46">
        <f>J11+SUM($J$90:$J$91)*D99/SUM($D$103,$D$109)</f>
        <v>5941.4136270227909</v>
      </c>
      <c r="K99" s="83">
        <f>J99/D99</f>
        <v>0.11733344321995352</v>
      </c>
    </row>
    <row r="100" spans="1:12" x14ac:dyDescent="0.6">
      <c r="A100" s="338" t="s">
        <v>287</v>
      </c>
      <c r="B100" s="56" t="s">
        <v>106</v>
      </c>
      <c r="C100" s="46" t="s">
        <v>106</v>
      </c>
      <c r="D100" s="40">
        <f>D18</f>
        <v>7812.5180002280385</v>
      </c>
      <c r="E100" s="40"/>
      <c r="F100" s="56" t="s">
        <v>106</v>
      </c>
      <c r="G100" s="159"/>
      <c r="H100" s="56" t="s">
        <v>106</v>
      </c>
      <c r="I100" s="72"/>
      <c r="J100" s="46">
        <f>J18+SUM($J$90:$J$91)*D100/SUM($D$103,$D$109)</f>
        <v>701.90822469245506</v>
      </c>
      <c r="K100" s="83">
        <f>J100/D100</f>
        <v>8.9844045757330376E-2</v>
      </c>
    </row>
    <row r="101" spans="1:12" x14ac:dyDescent="0.6">
      <c r="A101" s="338" t="s">
        <v>282</v>
      </c>
      <c r="B101" s="56" t="s">
        <v>106</v>
      </c>
      <c r="C101" s="46" t="s">
        <v>106</v>
      </c>
      <c r="D101" s="40">
        <f>D25</f>
        <v>31871.572698637367</v>
      </c>
      <c r="E101" s="40"/>
      <c r="F101" s="56" t="s">
        <v>106</v>
      </c>
      <c r="G101" s="159"/>
      <c r="H101" s="56" t="s">
        <v>106</v>
      </c>
      <c r="I101" s="72"/>
      <c r="J101" s="46">
        <f>J25+SUM($J$90:$J$91)*D101/SUM($D$103,$D$109)</f>
        <v>4365.0747085834646</v>
      </c>
      <c r="K101" s="83">
        <f>J101/D101</f>
        <v>0.13695824645547186</v>
      </c>
    </row>
    <row r="102" spans="1:12" x14ac:dyDescent="0.6">
      <c r="A102" s="338" t="s">
        <v>276</v>
      </c>
      <c r="B102" s="56" t="s">
        <v>106</v>
      </c>
      <c r="C102" s="46" t="s">
        <v>106</v>
      </c>
      <c r="D102" s="40">
        <f>D32</f>
        <v>41577.891726989015</v>
      </c>
      <c r="E102" s="40"/>
      <c r="F102" s="56" t="s">
        <v>106</v>
      </c>
      <c r="G102" s="159"/>
      <c r="H102" s="56" t="s">
        <v>106</v>
      </c>
      <c r="I102" s="72"/>
      <c r="J102" s="46">
        <f>J32+SUM($J$90:$J$91)*D102/SUM($D$103,$D$109)</f>
        <v>4143.9735834443609</v>
      </c>
      <c r="K102" s="83">
        <f>J102/D102</f>
        <v>9.9667717898125827E-2</v>
      </c>
    </row>
    <row r="103" spans="1:12" x14ac:dyDescent="0.6">
      <c r="A103" s="338" t="s">
        <v>281</v>
      </c>
      <c r="B103" s="56"/>
      <c r="C103" s="46"/>
      <c r="D103" s="40">
        <f>SUM(D99:D102)</f>
        <v>131898.98296017782</v>
      </c>
      <c r="E103" s="40"/>
      <c r="F103" s="56"/>
      <c r="G103" s="159"/>
      <c r="H103" s="56"/>
      <c r="I103" s="72"/>
      <c r="J103" s="46">
        <f>SUM(J99:J102)</f>
        <v>15152.370143743072</v>
      </c>
      <c r="K103" s="83">
        <f>J103/D103</f>
        <v>0.11487859726953155</v>
      </c>
    </row>
    <row r="104" spans="1:12" ht="5.15" customHeight="1" x14ac:dyDescent="0.6">
      <c r="A104" s="21"/>
      <c r="B104" s="56"/>
      <c r="C104" s="46"/>
      <c r="D104" s="40"/>
      <c r="E104" s="40"/>
      <c r="F104" s="56"/>
      <c r="G104" s="159"/>
      <c r="H104" s="56"/>
      <c r="I104" s="72"/>
      <c r="J104" s="46"/>
      <c r="K104" s="83"/>
    </row>
    <row r="105" spans="1:12" x14ac:dyDescent="0.6">
      <c r="A105" s="82" t="s">
        <v>392</v>
      </c>
    </row>
    <row r="106" spans="1:12" x14ac:dyDescent="0.6">
      <c r="A106" s="338" t="s">
        <v>386</v>
      </c>
      <c r="B106" s="56" t="s">
        <v>106</v>
      </c>
      <c r="C106" s="46" t="s">
        <v>106</v>
      </c>
      <c r="D106" s="40">
        <f>D52</f>
        <v>32881.811634490034</v>
      </c>
      <c r="E106" s="40"/>
      <c r="F106" s="56" t="s">
        <v>106</v>
      </c>
      <c r="G106" s="159"/>
      <c r="H106" s="56" t="s">
        <v>106</v>
      </c>
      <c r="I106" s="72"/>
      <c r="J106" s="46">
        <f>J52+SUM($J$90:$J$91)*D106/SUM($D$103,$D$109)</f>
        <v>2795.6373660691688</v>
      </c>
      <c r="K106" s="83">
        <f>J106/D106</f>
        <v>8.5020782831101649E-2</v>
      </c>
    </row>
    <row r="107" spans="1:12" x14ac:dyDescent="0.6">
      <c r="A107" s="338" t="s">
        <v>393</v>
      </c>
      <c r="B107" s="56" t="s">
        <v>106</v>
      </c>
      <c r="C107" s="46" t="s">
        <v>106</v>
      </c>
      <c r="D107" s="40">
        <f>D60</f>
        <v>29063.081233870489</v>
      </c>
      <c r="E107" s="40"/>
      <c r="F107" s="56" t="s">
        <v>106</v>
      </c>
      <c r="G107" s="159"/>
      <c r="H107" s="56" t="s">
        <v>106</v>
      </c>
      <c r="I107" s="72"/>
      <c r="J107" s="46">
        <f>J60+SUM($J$90:$J$91)*D107/SUM($D$103,$D$109)</f>
        <v>2100.3186263049915</v>
      </c>
      <c r="K107" s="83">
        <f>J107/D107</f>
        <v>7.2267582690346444E-2</v>
      </c>
    </row>
    <row r="108" spans="1:12" x14ac:dyDescent="0.6">
      <c r="A108" s="338" t="s">
        <v>388</v>
      </c>
      <c r="B108" s="56" t="s">
        <v>106</v>
      </c>
      <c r="C108" s="46" t="s">
        <v>106</v>
      </c>
      <c r="D108" s="40">
        <f>D67</f>
        <v>47136.636426107492</v>
      </c>
      <c r="E108" s="40"/>
      <c r="F108" s="56" t="s">
        <v>106</v>
      </c>
      <c r="G108" s="159"/>
      <c r="H108" s="56" t="s">
        <v>106</v>
      </c>
      <c r="I108" s="72"/>
      <c r="J108" s="46">
        <f>J67+SUM($J$90:$J$91)*D108/SUM($D$103,$D$109)</f>
        <v>4686.9706139646823</v>
      </c>
      <c r="K108" s="83">
        <f>J108/D108</f>
        <v>9.943370951620803E-2</v>
      </c>
    </row>
    <row r="109" spans="1:12" x14ac:dyDescent="0.6">
      <c r="A109" s="338" t="s">
        <v>394</v>
      </c>
      <c r="B109" s="56"/>
      <c r="C109" s="46"/>
      <c r="D109" s="40">
        <f>SUM(D106:D108)</f>
        <v>109081.52929446801</v>
      </c>
      <c r="E109" s="40"/>
      <c r="F109" s="56"/>
      <c r="G109" s="159"/>
      <c r="H109" s="56"/>
      <c r="I109" s="72"/>
      <c r="J109" s="46">
        <f>SUM(J106:J108)</f>
        <v>9582.9266063388422</v>
      </c>
      <c r="K109" s="83">
        <f>J109/D109</f>
        <v>8.7851047453410006E-2</v>
      </c>
    </row>
    <row r="110" spans="1:12" ht="5.15" customHeight="1" x14ac:dyDescent="0.6">
      <c r="A110" s="21"/>
      <c r="B110" s="56"/>
      <c r="C110" s="46"/>
      <c r="D110" s="40"/>
      <c r="E110" s="40"/>
      <c r="F110" s="56"/>
      <c r="G110" s="159"/>
      <c r="H110" s="56"/>
      <c r="I110" s="72"/>
      <c r="J110" s="46"/>
      <c r="K110" s="83"/>
    </row>
    <row r="111" spans="1:12" x14ac:dyDescent="0.6">
      <c r="A111" s="82" t="s">
        <v>286</v>
      </c>
      <c r="B111" s="56" t="s">
        <v>106</v>
      </c>
      <c r="C111" s="46" t="s">
        <v>106</v>
      </c>
      <c r="D111" s="40">
        <f>D82</f>
        <v>587364.39282920153</v>
      </c>
      <c r="E111" s="40"/>
      <c r="F111" s="56"/>
      <c r="G111" s="159"/>
      <c r="H111" s="56"/>
      <c r="I111" s="72"/>
      <c r="J111" s="46">
        <f>SUM(J93:J94)+J82</f>
        <v>28308.229352093458</v>
      </c>
      <c r="K111" s="83">
        <f>J111/D111</f>
        <v>4.819534465775005E-2</v>
      </c>
    </row>
    <row r="112" spans="1:12" hidden="1" x14ac:dyDescent="0.6">
      <c r="A112" s="341"/>
      <c r="B112" s="56"/>
      <c r="C112" s="46"/>
      <c r="D112" s="40"/>
      <c r="E112" s="40"/>
      <c r="F112" s="56"/>
      <c r="G112" s="159"/>
      <c r="H112" s="56"/>
      <c r="I112" s="72"/>
      <c r="J112" s="46"/>
      <c r="K112" s="83"/>
    </row>
    <row r="113" spans="1:11" hidden="1" x14ac:dyDescent="0.6">
      <c r="B113" s="69"/>
      <c r="C113" s="70"/>
      <c r="D113" s="37"/>
      <c r="E113" s="37"/>
      <c r="F113" s="38"/>
      <c r="G113" s="2"/>
      <c r="H113" s="4"/>
      <c r="I113" s="2"/>
      <c r="J113" s="2"/>
      <c r="K113" s="71"/>
    </row>
    <row r="114" spans="1:11" hidden="1" x14ac:dyDescent="0.6">
      <c r="A114" s="127" t="s">
        <v>191</v>
      </c>
      <c r="B114" s="339">
        <v>0</v>
      </c>
      <c r="C114" s="339">
        <v>0</v>
      </c>
      <c r="D114" s="339">
        <v>0</v>
      </c>
      <c r="E114" s="128"/>
      <c r="H114" s="126"/>
      <c r="I114" s="127"/>
      <c r="J114" s="339">
        <f>SUM(J103,J109)-J39-J74-SUM(J90:J91)</f>
        <v>0</v>
      </c>
    </row>
    <row r="115" spans="1:11" hidden="1" x14ac:dyDescent="0.6">
      <c r="A115" s="127"/>
      <c r="B115" s="339">
        <v>0</v>
      </c>
      <c r="C115" s="339">
        <v>0</v>
      </c>
      <c r="D115" s="339">
        <v>0</v>
      </c>
      <c r="E115" s="128"/>
      <c r="H115" s="126"/>
      <c r="I115" s="127"/>
      <c r="J115" s="339">
        <f>J111-J82-J93-J94</f>
        <v>1.0231815394945443E-12</v>
      </c>
    </row>
    <row r="116" spans="1:11" hidden="1" x14ac:dyDescent="0.6">
      <c r="B116" s="339">
        <v>0</v>
      </c>
      <c r="C116" s="339">
        <v>0</v>
      </c>
      <c r="D116" s="339">
        <v>0</v>
      </c>
      <c r="H116" s="127"/>
      <c r="I116" s="127"/>
      <c r="J116" s="339">
        <v>0</v>
      </c>
    </row>
    <row r="117" spans="1:11" hidden="1" x14ac:dyDescent="0.6">
      <c r="B117" s="339">
        <v>0</v>
      </c>
      <c r="C117" s="339">
        <v>0</v>
      </c>
      <c r="D117" s="339">
        <v>0</v>
      </c>
      <c r="H117" s="342"/>
      <c r="I117" s="342"/>
      <c r="J117" s="339">
        <v>0</v>
      </c>
    </row>
    <row r="118" spans="1:11" hidden="1" x14ac:dyDescent="0.6">
      <c r="B118" s="339"/>
      <c r="C118" s="339"/>
      <c r="D118" s="339">
        <v>6.4028427004814148E-10</v>
      </c>
      <c r="H118" s="342"/>
      <c r="I118" s="342"/>
      <c r="J118" s="339">
        <v>0</v>
      </c>
    </row>
    <row r="119" spans="1:11" x14ac:dyDescent="0.6">
      <c r="A119" s="141"/>
      <c r="B119" s="290"/>
      <c r="C119" s="291"/>
      <c r="D119" s="282"/>
      <c r="E119" s="37"/>
    </row>
    <row r="120" spans="1:11" x14ac:dyDescent="0.6">
      <c r="A120" s="11" t="s">
        <v>235</v>
      </c>
    </row>
    <row r="121" spans="1:11" x14ac:dyDescent="0.6">
      <c r="A121" s="25" t="s">
        <v>796</v>
      </c>
    </row>
    <row r="122" spans="1:11" x14ac:dyDescent="0.6">
      <c r="A122" s="25" t="s">
        <v>795</v>
      </c>
    </row>
    <row r="123" spans="1:11" x14ac:dyDescent="0.6">
      <c r="A123" s="25" t="s">
        <v>797</v>
      </c>
    </row>
    <row r="124" spans="1:11" x14ac:dyDescent="0.6">
      <c r="A124" s="145" t="s">
        <v>91</v>
      </c>
    </row>
  </sheetData>
  <phoneticPr fontId="0" type="noConversion"/>
  <printOptions horizontalCentered="1"/>
  <pageMargins left="0.75" right="0.75" top="1" bottom="1" header="0.5" footer="0.5"/>
  <pageSetup scale="92" fitToHeight="3" orientation="landscape" r:id="rId1"/>
  <headerFooter alignWithMargins="0">
    <oddFooter>&amp;L&amp;F</oddFooter>
  </headerFooter>
  <rowBreaks count="2" manualBreakCount="2">
    <brk id="41" max="10" man="1"/>
    <brk id="84" max="10"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7"/>
  <dimension ref="A1:X126"/>
  <sheetViews>
    <sheetView zoomScale="70" zoomScaleNormal="70" workbookViewId="0"/>
  </sheetViews>
  <sheetFormatPr defaultColWidth="9.08984375" defaultRowHeight="13" x14ac:dyDescent="0.6"/>
  <cols>
    <col min="1" max="1" width="43.31640625" style="11" customWidth="1"/>
    <col min="2" max="2" width="11.6796875" style="62" customWidth="1"/>
    <col min="3" max="3" width="11.6796875" style="52" customWidth="1"/>
    <col min="4" max="4" width="11.6796875" style="53" customWidth="1"/>
    <col min="5" max="5" width="2.6796875" style="53" customWidth="1"/>
    <col min="6" max="6" width="11.6796875" style="64" customWidth="1"/>
    <col min="7" max="7" width="2.6796875" style="24" customWidth="1"/>
    <col min="8" max="8" width="11.6796875" style="11" customWidth="1"/>
    <col min="9" max="9" width="2.31640625" style="24" customWidth="1"/>
    <col min="10" max="10" width="11.6796875" style="24" customWidth="1"/>
    <col min="11" max="11" width="11.6796875" style="64" customWidth="1"/>
    <col min="12" max="12" width="9.08984375" style="11"/>
    <col min="13" max="13" width="11.31640625" style="11" bestFit="1" customWidth="1"/>
    <col min="14" max="14" width="11.08984375" style="11" bestFit="1" customWidth="1"/>
    <col min="15" max="16384" width="9.08984375" style="11"/>
  </cols>
  <sheetData>
    <row r="1" spans="1:12" ht="15.75" customHeight="1" x14ac:dyDescent="0.7">
      <c r="A1" s="158" t="s">
        <v>57</v>
      </c>
    </row>
    <row r="2" spans="1:12" ht="15.75" customHeight="1" x14ac:dyDescent="0.7">
      <c r="A2" s="158" t="s">
        <v>787</v>
      </c>
    </row>
    <row r="3" spans="1:12" s="4" customFormat="1" ht="26" x14ac:dyDescent="0.6">
      <c r="B3" s="189" t="s">
        <v>248</v>
      </c>
      <c r="C3" s="146" t="s">
        <v>249</v>
      </c>
      <c r="D3" s="168" t="s">
        <v>250</v>
      </c>
      <c r="E3" s="168"/>
      <c r="F3" s="169" t="s">
        <v>207</v>
      </c>
      <c r="G3" s="159"/>
      <c r="H3" s="190" t="s">
        <v>246</v>
      </c>
      <c r="I3" s="159"/>
      <c r="J3" s="189" t="s">
        <v>110</v>
      </c>
      <c r="K3" s="41" t="s">
        <v>133</v>
      </c>
    </row>
    <row r="4" spans="1:12" x14ac:dyDescent="0.6">
      <c r="A4" s="15" t="s">
        <v>283</v>
      </c>
      <c r="B4" s="65"/>
      <c r="C4" s="39"/>
      <c r="D4" s="37"/>
      <c r="E4" s="37"/>
      <c r="F4" s="38"/>
      <c r="G4" s="2"/>
      <c r="H4" s="66"/>
      <c r="I4" s="2"/>
      <c r="J4" s="2"/>
      <c r="K4" s="38"/>
    </row>
    <row r="5" spans="1:12" ht="5.15" customHeight="1" x14ac:dyDescent="0.6">
      <c r="A5" s="49"/>
      <c r="B5" s="65"/>
      <c r="C5" s="39"/>
      <c r="D5" s="37"/>
      <c r="E5" s="37"/>
      <c r="F5" s="38"/>
      <c r="G5" s="2"/>
      <c r="H5" s="66"/>
      <c r="I5" s="2"/>
      <c r="J5" s="2"/>
      <c r="K5" s="38"/>
    </row>
    <row r="6" spans="1:12" x14ac:dyDescent="0.6">
      <c r="A6" s="82" t="s">
        <v>275</v>
      </c>
      <c r="B6" s="57"/>
      <c r="C6" s="67"/>
      <c r="D6" s="40"/>
      <c r="E6" s="40"/>
      <c r="F6" s="41"/>
      <c r="G6" s="43"/>
      <c r="H6" s="54"/>
      <c r="I6" s="68"/>
      <c r="J6" s="68"/>
      <c r="K6" s="41"/>
    </row>
    <row r="7" spans="1:12" x14ac:dyDescent="0.6">
      <c r="A7" s="337" t="s">
        <v>135</v>
      </c>
      <c r="B7" s="135">
        <v>788.10031885323974</v>
      </c>
      <c r="C7" s="46">
        <v>31872.52144569793</v>
      </c>
      <c r="D7" s="135">
        <v>545742.74417471676</v>
      </c>
      <c r="E7" s="135"/>
      <c r="F7" s="83">
        <f>IF(D7&lt;&gt;0,C7/D7,0)</f>
        <v>5.8402098398754168E-2</v>
      </c>
      <c r="G7" s="159"/>
      <c r="H7" s="54">
        <v>1.3820275853954722</v>
      </c>
      <c r="I7" s="72"/>
      <c r="J7" s="46">
        <f>C7*H7</f>
        <v>44048.703854063315</v>
      </c>
      <c r="K7" s="83">
        <f>F7*(H7)</f>
        <v>8.071331103205899E-2</v>
      </c>
    </row>
    <row r="8" spans="1:12" ht="12.75" customHeight="1" x14ac:dyDescent="0.6">
      <c r="A8" s="338" t="s">
        <v>136</v>
      </c>
      <c r="B8" s="135">
        <v>295.76265884986617</v>
      </c>
      <c r="C8" s="46">
        <v>6621.0114326817966</v>
      </c>
      <c r="D8" s="135">
        <v>210687.75284797751</v>
      </c>
      <c r="E8" s="135"/>
      <c r="F8" s="83">
        <f>IF(D8&lt;&gt;0,C8/D8,0)</f>
        <v>3.1425706255736707E-2</v>
      </c>
      <c r="G8" s="159"/>
      <c r="H8" s="54">
        <v>1.2830218458412175</v>
      </c>
      <c r="I8" s="72"/>
      <c r="J8" s="46">
        <f>C8*H8</f>
        <v>8494.9023096952023</v>
      </c>
      <c r="K8" s="83">
        <f>F8*(H8)</f>
        <v>4.0319867647099203E-2</v>
      </c>
    </row>
    <row r="9" spans="1:12" x14ac:dyDescent="0.6">
      <c r="A9" s="337" t="s">
        <v>137</v>
      </c>
      <c r="B9" s="135">
        <v>211.52183740386539</v>
      </c>
      <c r="C9" s="46">
        <v>5984.5623656614043</v>
      </c>
      <c r="D9" s="135">
        <v>148766.47839084253</v>
      </c>
      <c r="E9" s="135"/>
      <c r="F9" s="83">
        <f>IF(D9&lt;&gt;0,C9/D9,0)</f>
        <v>4.0227895628063684E-2</v>
      </c>
      <c r="G9" s="159"/>
      <c r="H9" s="54">
        <v>1.5107753644979616</v>
      </c>
      <c r="I9" s="48"/>
      <c r="J9" s="46">
        <f>C9*H9</f>
        <v>9041.3293893428909</v>
      </c>
      <c r="K9" s="83">
        <f>F9*(H9)</f>
        <v>6.0775313680473869E-2</v>
      </c>
    </row>
    <row r="10" spans="1:12" x14ac:dyDescent="0.6">
      <c r="A10" s="337" t="s">
        <v>107</v>
      </c>
      <c r="B10" s="135">
        <v>5.5409991109527503</v>
      </c>
      <c r="C10" s="46">
        <v>216.17986391417716</v>
      </c>
      <c r="D10" s="135">
        <v>3822.8039538415665</v>
      </c>
      <c r="E10" s="135"/>
      <c r="F10" s="83">
        <f>IF(D10&lt;&gt;0,C10/D10,0)</f>
        <v>5.6550078561296943E-2</v>
      </c>
      <c r="G10" s="159"/>
      <c r="H10" s="54">
        <v>1.2830218458412175</v>
      </c>
      <c r="I10" s="72"/>
      <c r="J10" s="46">
        <f>C10*H10</f>
        <v>277.36348803287081</v>
      </c>
      <c r="K10" s="83">
        <f>F10*(H10)</f>
        <v>7.2554986178181069E-2</v>
      </c>
    </row>
    <row r="11" spans="1:12" x14ac:dyDescent="0.6">
      <c r="A11" s="337" t="s">
        <v>277</v>
      </c>
      <c r="B11" s="135">
        <f>SUM(B7:B10)</f>
        <v>1300.9258142179242</v>
      </c>
      <c r="C11" s="46">
        <f>SUM(C7:C10)</f>
        <v>44694.275107955313</v>
      </c>
      <c r="D11" s="135">
        <f>SUM(D7:D10)</f>
        <v>909019.77936737833</v>
      </c>
      <c r="E11" s="135"/>
      <c r="F11" s="83">
        <f>IF(D11&lt;&gt;0,C11/D11,0)</f>
        <v>4.9167549620383146E-2</v>
      </c>
      <c r="G11" s="159"/>
      <c r="H11" s="54"/>
      <c r="I11" s="72"/>
      <c r="J11" s="46">
        <f>SUM(J7:J10)</f>
        <v>61862.299041134276</v>
      </c>
      <c r="K11" s="83">
        <f>SUMPRODUCT(K7:K10,D7:D10)/D11</f>
        <v>6.8053853662223524E-2</v>
      </c>
      <c r="L11" s="84"/>
    </row>
    <row r="12" spans="1:12" ht="5.15" customHeight="1" x14ac:dyDescent="0.6">
      <c r="A12" s="21"/>
      <c r="B12" s="135"/>
      <c r="C12" s="46"/>
      <c r="D12" s="135"/>
      <c r="E12" s="135"/>
      <c r="F12" s="83"/>
      <c r="G12" s="159"/>
      <c r="H12" s="54"/>
      <c r="I12" s="72"/>
      <c r="J12" s="46"/>
      <c r="K12" s="83"/>
      <c r="L12" s="84"/>
    </row>
    <row r="13" spans="1:12" x14ac:dyDescent="0.6">
      <c r="A13" s="89" t="s">
        <v>383</v>
      </c>
      <c r="B13" s="135"/>
      <c r="C13" s="46"/>
      <c r="D13" s="135"/>
      <c r="E13" s="135"/>
      <c r="F13" s="83"/>
      <c r="G13" s="159"/>
      <c r="H13" s="54"/>
      <c r="I13" s="72"/>
      <c r="J13" s="46"/>
      <c r="K13" s="83"/>
      <c r="L13" s="84"/>
    </row>
    <row r="14" spans="1:12" x14ac:dyDescent="0.6">
      <c r="A14" s="337" t="s">
        <v>135</v>
      </c>
      <c r="B14" s="135">
        <v>72.171166313166054</v>
      </c>
      <c r="C14" s="46">
        <v>2909.378340673959</v>
      </c>
      <c r="D14" s="135">
        <v>49050.73826708804</v>
      </c>
      <c r="E14" s="135"/>
      <c r="F14" s="83">
        <f>IF(D14&lt;&gt;0,C14/D14,0)</f>
        <v>5.9313650384465011E-2</v>
      </c>
      <c r="G14" s="159"/>
      <c r="H14" s="54">
        <v>1.3820275853954722</v>
      </c>
      <c r="I14" s="72"/>
      <c r="J14" s="46">
        <f>C14*H14</f>
        <v>4020.8411231635173</v>
      </c>
      <c r="K14" s="83">
        <f>F14*(H14)</f>
        <v>8.1973101021833403E-2</v>
      </c>
      <c r="L14" s="84"/>
    </row>
    <row r="15" spans="1:12" x14ac:dyDescent="0.6">
      <c r="A15" s="338" t="s">
        <v>136</v>
      </c>
      <c r="B15" s="135">
        <v>40.258290584088705</v>
      </c>
      <c r="C15" s="46">
        <v>896.77448189077484</v>
      </c>
      <c r="D15" s="135">
        <v>27774.693577471928</v>
      </c>
      <c r="E15" s="135"/>
      <c r="F15" s="83">
        <f>IF(D15&lt;&gt;0,C15/D15,0)</f>
        <v>3.2287466264547711E-2</v>
      </c>
      <c r="G15" s="159"/>
      <c r="H15" s="54">
        <v>1.2830218458412175</v>
      </c>
      <c r="I15" s="72"/>
      <c r="J15" s="46">
        <f>C15*H15</f>
        <v>1150.5812510588034</v>
      </c>
      <c r="K15" s="83">
        <f>F15*(H15)</f>
        <v>4.1425524564276041E-2</v>
      </c>
      <c r="L15" s="84"/>
    </row>
    <row r="16" spans="1:12" x14ac:dyDescent="0.6">
      <c r="A16" s="337" t="s">
        <v>137</v>
      </c>
      <c r="B16" s="135">
        <v>13.712018347473586</v>
      </c>
      <c r="C16" s="46">
        <v>386.82054891905466</v>
      </c>
      <c r="D16" s="135">
        <v>9460.0913850096294</v>
      </c>
      <c r="E16" s="135"/>
      <c r="F16" s="83">
        <f>IF(D16&lt;&gt;0,C16/D16,0)</f>
        <v>4.088972644936674E-2</v>
      </c>
      <c r="G16" s="159"/>
      <c r="H16" s="54">
        <v>1.5107753644979616</v>
      </c>
      <c r="I16" s="72"/>
      <c r="J16" s="46">
        <f>C16*H16</f>
        <v>584.39895578848643</v>
      </c>
      <c r="K16" s="83">
        <f>F16*(H16)</f>
        <v>6.1775191380763976E-2</v>
      </c>
      <c r="L16" s="84"/>
    </row>
    <row r="17" spans="1:13" ht="12.75" customHeight="1" x14ac:dyDescent="0.6">
      <c r="A17" s="337" t="s">
        <v>107</v>
      </c>
      <c r="B17" s="135">
        <v>0.73687351032793047</v>
      </c>
      <c r="C17" s="46">
        <v>28.748825256040078</v>
      </c>
      <c r="D17" s="135">
        <v>508.37816652859374</v>
      </c>
      <c r="E17" s="135"/>
      <c r="F17" s="83">
        <f>IF(D17&lt;&gt;0,C17/D17,0)</f>
        <v>5.655007856129695E-2</v>
      </c>
      <c r="G17" s="159"/>
      <c r="H17" s="54">
        <v>1.2830218458412175</v>
      </c>
      <c r="I17" s="72"/>
      <c r="J17" s="46">
        <f>C17*H17</f>
        <v>36.885370845771156</v>
      </c>
      <c r="K17" s="83">
        <f>F17*(H17)</f>
        <v>7.2554986178181069E-2</v>
      </c>
      <c r="L17" s="84"/>
    </row>
    <row r="18" spans="1:13" x14ac:dyDescent="0.6">
      <c r="A18" s="337" t="s">
        <v>277</v>
      </c>
      <c r="B18" s="135">
        <f>SUM(B14:B17)</f>
        <v>126.87834875505628</v>
      </c>
      <c r="C18" s="46">
        <f>SUM(C14:C17)</f>
        <v>4221.7221967398282</v>
      </c>
      <c r="D18" s="135">
        <f>SUM(D14:D17)</f>
        <v>86793.901396098183</v>
      </c>
      <c r="E18" s="135"/>
      <c r="F18" s="83">
        <f>IF(D18&lt;&gt;0,C18/D18,0)</f>
        <v>4.8640770017622639E-2</v>
      </c>
      <c r="G18" s="159"/>
      <c r="H18" s="54"/>
      <c r="I18" s="72"/>
      <c r="J18" s="46">
        <f>SUM(J14:J17)</f>
        <v>5792.7067008565773</v>
      </c>
      <c r="K18" s="83">
        <f>SUMPRODUCT(K14:K17,D14:D17)/D18</f>
        <v>6.674094156017496E-2</v>
      </c>
      <c r="L18" s="84"/>
    </row>
    <row r="19" spans="1:13" ht="5.15" customHeight="1" x14ac:dyDescent="0.6">
      <c r="A19" s="81"/>
      <c r="B19" s="135"/>
      <c r="C19" s="135"/>
      <c r="D19" s="135"/>
      <c r="E19" s="135"/>
      <c r="F19" s="83"/>
      <c r="G19" s="159"/>
      <c r="H19" s="54"/>
      <c r="I19" s="72"/>
      <c r="J19" s="46"/>
      <c r="K19" s="83"/>
      <c r="L19" s="84"/>
    </row>
    <row r="20" spans="1:13" ht="12.75" customHeight="1" x14ac:dyDescent="0.6">
      <c r="A20" s="89" t="s">
        <v>384</v>
      </c>
      <c r="B20" s="135"/>
      <c r="C20" s="135"/>
      <c r="D20" s="135"/>
      <c r="E20" s="135"/>
      <c r="F20" s="83"/>
      <c r="G20" s="159"/>
      <c r="H20" s="54"/>
      <c r="I20" s="72"/>
      <c r="J20" s="46"/>
      <c r="K20" s="83"/>
      <c r="L20" s="84"/>
    </row>
    <row r="21" spans="1:13" ht="12.75" customHeight="1" x14ac:dyDescent="0.6">
      <c r="A21" s="337" t="s">
        <v>135</v>
      </c>
      <c r="B21" s="135">
        <v>222.68101482165116</v>
      </c>
      <c r="C21" s="46">
        <v>8976.7611429499684</v>
      </c>
      <c r="D21" s="135">
        <v>149518.9769201522</v>
      </c>
      <c r="E21" s="135"/>
      <c r="F21" s="83">
        <f>IF(D21&lt;&gt;0,C21/D21,0)</f>
        <v>6.0037604107897546E-2</v>
      </c>
      <c r="G21" s="159"/>
      <c r="H21" s="54">
        <v>1.3820275853954722</v>
      </c>
      <c r="I21" s="72"/>
      <c r="J21" s="46">
        <f>C21*H21</f>
        <v>12406.131527063044</v>
      </c>
      <c r="K21" s="83">
        <f>F21*(H21)</f>
        <v>8.2973625038166923E-2</v>
      </c>
      <c r="L21" s="84"/>
    </row>
    <row r="22" spans="1:13" ht="12.75" customHeight="1" x14ac:dyDescent="0.6">
      <c r="A22" s="338" t="s">
        <v>136</v>
      </c>
      <c r="B22" s="135">
        <v>106.0659339711995</v>
      </c>
      <c r="C22" s="46">
        <v>2362.6741623469916</v>
      </c>
      <c r="D22" s="135">
        <v>73176.202275780801</v>
      </c>
      <c r="E22" s="135"/>
      <c r="F22" s="83">
        <f>IF(D22&lt;&gt;0,C22/D22,0)</f>
        <v>3.2287466264547704E-2</v>
      </c>
      <c r="G22" s="159"/>
      <c r="H22" s="54">
        <v>1.2830218458412175</v>
      </c>
      <c r="I22" s="72"/>
      <c r="J22" s="46">
        <f>C22*H22</f>
        <v>3031.3625648957895</v>
      </c>
      <c r="K22" s="83">
        <f>F22*(H22)</f>
        <v>4.1425524564276034E-2</v>
      </c>
      <c r="L22" s="84"/>
    </row>
    <row r="23" spans="1:13" ht="12.75" customHeight="1" x14ac:dyDescent="0.6">
      <c r="A23" s="337" t="s">
        <v>137</v>
      </c>
      <c r="B23" s="135">
        <v>47.562176886855831</v>
      </c>
      <c r="C23" s="46">
        <v>1341.7446582215628</v>
      </c>
      <c r="D23" s="135">
        <v>32813.73525164149</v>
      </c>
      <c r="E23" s="135"/>
      <c r="F23" s="83">
        <f>IF(D23&lt;&gt;0,C23/D23,0)</f>
        <v>4.088972644936674E-2</v>
      </c>
      <c r="G23" s="159"/>
      <c r="H23" s="54">
        <v>1.5107753644979616</v>
      </c>
      <c r="I23" s="72"/>
      <c r="J23" s="46">
        <f>C23*H23</f>
        <v>2027.0747750878743</v>
      </c>
      <c r="K23" s="83">
        <f>F23*(H23)</f>
        <v>6.1775191380763976E-2</v>
      </c>
      <c r="L23" s="84"/>
    </row>
    <row r="24" spans="1:13" ht="12.75" customHeight="1" x14ac:dyDescent="0.6">
      <c r="A24" s="337" t="s">
        <v>107</v>
      </c>
      <c r="B24" s="135">
        <v>1.4062510255737739</v>
      </c>
      <c r="C24" s="46">
        <v>54.864321262350558</v>
      </c>
      <c r="D24" s="135">
        <v>970.19000960150527</v>
      </c>
      <c r="E24" s="135"/>
      <c r="F24" s="83">
        <f>IF(D24&lt;&gt;0,C24/D24,0)</f>
        <v>5.6550078561296943E-2</v>
      </c>
      <c r="G24" s="159"/>
      <c r="H24" s="54">
        <v>1.2830218458412175</v>
      </c>
      <c r="I24" s="72"/>
      <c r="J24" s="46">
        <f>C24*H24</f>
        <v>70.392122736846574</v>
      </c>
      <c r="K24" s="83">
        <f>F24*(H24)</f>
        <v>7.2554986178181069E-2</v>
      </c>
      <c r="L24" s="84"/>
    </row>
    <row r="25" spans="1:13" ht="12.75" customHeight="1" x14ac:dyDescent="0.6">
      <c r="A25" s="337" t="s">
        <v>277</v>
      </c>
      <c r="B25" s="135">
        <f>SUM(B21:B24)</f>
        <v>377.71537670528028</v>
      </c>
      <c r="C25" s="46">
        <f>SUM(C21:C24)</f>
        <v>12736.044284780874</v>
      </c>
      <c r="D25" s="135">
        <f>SUM(D21:D24)</f>
        <v>256479.10445717597</v>
      </c>
      <c r="E25" s="135"/>
      <c r="F25" s="83">
        <f>IF(D25&lt;&gt;0,C25/D25,0)</f>
        <v>4.9657239375254431E-2</v>
      </c>
      <c r="G25" s="159"/>
      <c r="H25" s="54"/>
      <c r="I25" s="72"/>
      <c r="J25" s="46">
        <f>SUM(J21:J24)</f>
        <v>17534.960989783554</v>
      </c>
      <c r="K25" s="83">
        <f>SUMPRODUCT(K21:K24,D21:D24)/D25</f>
        <v>6.8367990549933269E-2</v>
      </c>
      <c r="L25" s="84"/>
    </row>
    <row r="26" spans="1:13" ht="5.15" customHeight="1" x14ac:dyDescent="0.6">
      <c r="A26" s="81"/>
      <c r="B26" s="135"/>
      <c r="C26" s="135"/>
      <c r="D26" s="135"/>
      <c r="E26" s="135"/>
      <c r="F26" s="83"/>
      <c r="G26" s="159"/>
      <c r="H26" s="54"/>
      <c r="I26" s="72"/>
      <c r="J26" s="46"/>
      <c r="K26" s="83"/>
      <c r="L26" s="84"/>
    </row>
    <row r="27" spans="1:13" ht="12.75" customHeight="1" x14ac:dyDescent="0.6">
      <c r="A27" s="21" t="s">
        <v>276</v>
      </c>
      <c r="B27" s="135"/>
      <c r="C27" s="135"/>
      <c r="D27" s="135"/>
      <c r="E27" s="135"/>
      <c r="F27" s="83"/>
      <c r="G27" s="159"/>
      <c r="H27" s="54"/>
      <c r="I27" s="72"/>
      <c r="J27" s="46"/>
      <c r="K27" s="83"/>
      <c r="L27" s="84"/>
    </row>
    <row r="28" spans="1:13" ht="12.75" customHeight="1" x14ac:dyDescent="0.6">
      <c r="A28" s="337" t="s">
        <v>135</v>
      </c>
      <c r="B28" s="135">
        <v>0</v>
      </c>
      <c r="C28" s="46">
        <v>0</v>
      </c>
      <c r="D28" s="135">
        <v>0</v>
      </c>
      <c r="E28" s="135"/>
      <c r="F28" s="83">
        <f>IF(D28&lt;&gt;0,C28/D28,0)</f>
        <v>0</v>
      </c>
      <c r="G28" s="159"/>
      <c r="H28" s="54">
        <v>1.3820275853954722</v>
      </c>
      <c r="I28" s="72"/>
      <c r="J28" s="46">
        <f>C28*H28</f>
        <v>0</v>
      </c>
      <c r="K28" s="83">
        <f>F28*(H28)</f>
        <v>0</v>
      </c>
      <c r="L28" s="84"/>
    </row>
    <row r="29" spans="1:13" ht="12.75" customHeight="1" x14ac:dyDescent="0.6">
      <c r="A29" s="338" t="s">
        <v>136</v>
      </c>
      <c r="B29" s="135">
        <v>0</v>
      </c>
      <c r="C29" s="46">
        <v>0</v>
      </c>
      <c r="D29" s="135">
        <v>0</v>
      </c>
      <c r="E29" s="135"/>
      <c r="F29" s="83">
        <f>IF(D29&lt;&gt;0,C29/D29,0)</f>
        <v>0</v>
      </c>
      <c r="G29" s="159"/>
      <c r="H29" s="54">
        <v>1.2830218458412175</v>
      </c>
      <c r="I29" s="72"/>
      <c r="J29" s="46">
        <f>C29*H29</f>
        <v>0</v>
      </c>
      <c r="K29" s="83">
        <f>F29*(H29)</f>
        <v>0</v>
      </c>
      <c r="L29" s="84"/>
    </row>
    <row r="30" spans="1:13" ht="12.75" customHeight="1" x14ac:dyDescent="0.6">
      <c r="A30" s="337" t="s">
        <v>137</v>
      </c>
      <c r="B30" s="135">
        <v>0</v>
      </c>
      <c r="C30" s="46">
        <v>0</v>
      </c>
      <c r="D30" s="135">
        <v>0</v>
      </c>
      <c r="E30" s="135"/>
      <c r="F30" s="83">
        <f>IF(D30&lt;&gt;0,C30/D30,0)</f>
        <v>0</v>
      </c>
      <c r="G30" s="159"/>
      <c r="H30" s="54">
        <v>1.5107753644979616</v>
      </c>
      <c r="I30" s="72"/>
      <c r="J30" s="46">
        <f>C30*H30</f>
        <v>0</v>
      </c>
      <c r="K30" s="83">
        <f>F30*(H30)</f>
        <v>0</v>
      </c>
      <c r="L30" s="84"/>
    </row>
    <row r="31" spans="1:13" ht="12.75" customHeight="1" x14ac:dyDescent="0.6">
      <c r="A31" s="337" t="s">
        <v>107</v>
      </c>
      <c r="B31" s="135">
        <v>0</v>
      </c>
      <c r="C31" s="46">
        <v>0</v>
      </c>
      <c r="D31" s="135">
        <v>0</v>
      </c>
      <c r="E31" s="135"/>
      <c r="F31" s="83">
        <f>IF(D31&lt;&gt;0,C31/D31,0)</f>
        <v>0</v>
      </c>
      <c r="G31" s="159"/>
      <c r="H31" s="54">
        <v>1.2830218458412175</v>
      </c>
      <c r="I31" s="72"/>
      <c r="J31" s="46">
        <f>C31*H31</f>
        <v>0</v>
      </c>
      <c r="K31" s="83">
        <f>F31*(H31)</f>
        <v>0</v>
      </c>
      <c r="L31" s="84"/>
    </row>
    <row r="32" spans="1:13" ht="12.75" customHeight="1" x14ac:dyDescent="0.6">
      <c r="A32" s="337" t="s">
        <v>277</v>
      </c>
      <c r="B32" s="135">
        <f>SUM(B28:B31)</f>
        <v>0</v>
      </c>
      <c r="C32" s="46">
        <f>SUM(C28:C31)</f>
        <v>0</v>
      </c>
      <c r="D32" s="135">
        <f>SUM(D28:D31)</f>
        <v>0</v>
      </c>
      <c r="E32" s="135"/>
      <c r="F32" s="83">
        <f>IF(D32&lt;&gt;0,C32/D32,0)</f>
        <v>0</v>
      </c>
      <c r="G32" s="159"/>
      <c r="H32" s="54"/>
      <c r="I32" s="72"/>
      <c r="J32" s="46">
        <f>SUM(J28:J31)</f>
        <v>0</v>
      </c>
      <c r="K32" s="488">
        <f>IF(D32&lt;&gt;0,SUMPRODUCT(K28:K31,D28:D31)/D32,0)</f>
        <v>0</v>
      </c>
      <c r="L32" s="84"/>
      <c r="M32" s="16"/>
    </row>
    <row r="33" spans="1:12" ht="5.15" customHeight="1" x14ac:dyDescent="0.6">
      <c r="A33" s="81"/>
      <c r="B33" s="135"/>
      <c r="C33" s="46"/>
      <c r="D33" s="135"/>
      <c r="E33" s="135"/>
      <c r="F33" s="83"/>
      <c r="G33" s="159"/>
      <c r="H33" s="54"/>
      <c r="I33" s="72"/>
      <c r="J33" s="46"/>
      <c r="K33" s="83"/>
      <c r="L33" s="84"/>
    </row>
    <row r="34" spans="1:12" ht="12.75" customHeight="1" x14ac:dyDescent="0.6">
      <c r="A34" s="89" t="s">
        <v>288</v>
      </c>
      <c r="B34" s="135"/>
      <c r="C34" s="46"/>
      <c r="D34" s="135"/>
      <c r="E34" s="135"/>
      <c r="F34" s="83"/>
      <c r="G34" s="159"/>
      <c r="H34" s="54"/>
      <c r="I34" s="72"/>
      <c r="J34" s="46"/>
      <c r="K34" s="83"/>
      <c r="L34" s="84"/>
    </row>
    <row r="35" spans="1:12" x14ac:dyDescent="0.6">
      <c r="A35" s="337" t="s">
        <v>135</v>
      </c>
      <c r="B35" s="135">
        <f t="shared" ref="B35:D38" si="0">SUM(B7,B14,B21,B28)</f>
        <v>1082.9524999880568</v>
      </c>
      <c r="C35" s="46">
        <f t="shared" si="0"/>
        <v>43758.660929321857</v>
      </c>
      <c r="D35" s="135">
        <f t="shared" si="0"/>
        <v>744312.45936195704</v>
      </c>
      <c r="E35" s="135"/>
      <c r="F35" s="83">
        <f>IF(D35&lt;&gt;0,C35/D35,0)</f>
        <v>5.879071400582607E-2</v>
      </c>
      <c r="G35" s="159"/>
      <c r="H35" s="54">
        <v>1.3820275853954722</v>
      </c>
      <c r="I35" s="72"/>
      <c r="J35" s="46">
        <f>SUM(J7,J14,J21,J28)</f>
        <v>60475.676504289877</v>
      </c>
      <c r="K35" s="83">
        <f>F35*(H35)</f>
        <v>8.1250388521147576E-2</v>
      </c>
      <c r="L35" s="84"/>
    </row>
    <row r="36" spans="1:12" x14ac:dyDescent="0.6">
      <c r="A36" s="338" t="s">
        <v>136</v>
      </c>
      <c r="B36" s="135">
        <f t="shared" si="0"/>
        <v>442.08688340515437</v>
      </c>
      <c r="C36" s="46">
        <f t="shared" si="0"/>
        <v>9880.460076919564</v>
      </c>
      <c r="D36" s="135">
        <f t="shared" si="0"/>
        <v>311638.64870123024</v>
      </c>
      <c r="E36" s="135"/>
      <c r="F36" s="83">
        <f>IF(D36&lt;&gt;0,C36/D36,0)</f>
        <v>3.1704861120714259E-2</v>
      </c>
      <c r="G36" s="159"/>
      <c r="H36" s="54">
        <v>1.2830218458412175</v>
      </c>
      <c r="I36" s="72"/>
      <c r="J36" s="46">
        <f>SUM(J8,J15,J22,J29)</f>
        <v>12676.846125649796</v>
      </c>
      <c r="K36" s="83">
        <f>F36*(H36)</f>
        <v>4.0678029437238257E-2</v>
      </c>
      <c r="L36" s="84"/>
    </row>
    <row r="37" spans="1:12" x14ac:dyDescent="0.6">
      <c r="A37" s="337" t="s">
        <v>137</v>
      </c>
      <c r="B37" s="135">
        <f t="shared" si="0"/>
        <v>272.79603263819479</v>
      </c>
      <c r="C37" s="46">
        <f t="shared" si="0"/>
        <v>7713.1275728020219</v>
      </c>
      <c r="D37" s="135">
        <f t="shared" si="0"/>
        <v>191040.30502749365</v>
      </c>
      <c r="E37" s="135"/>
      <c r="F37" s="83">
        <f>IF(D37&lt;&gt;0,C37/D37,0)</f>
        <v>4.0374347034736906E-2</v>
      </c>
      <c r="G37" s="159"/>
      <c r="H37" s="54">
        <v>1.5107753644979616</v>
      </c>
      <c r="I37" s="72"/>
      <c r="J37" s="46">
        <f>SUM(J9,J16,J23,J30)</f>
        <v>11652.803120219252</v>
      </c>
      <c r="K37" s="83">
        <f>F37*(H37)</f>
        <v>6.0996568857771841E-2</v>
      </c>
      <c r="L37" s="84"/>
    </row>
    <row r="38" spans="1:12" x14ac:dyDescent="0.6">
      <c r="A38" s="337" t="s">
        <v>107</v>
      </c>
      <c r="B38" s="135">
        <f t="shared" si="0"/>
        <v>7.684123646854454</v>
      </c>
      <c r="C38" s="46">
        <f t="shared" si="0"/>
        <v>299.79301043256783</v>
      </c>
      <c r="D38" s="135">
        <f t="shared" si="0"/>
        <v>5301.3721299716653</v>
      </c>
      <c r="E38" s="135"/>
      <c r="F38" s="83">
        <f>IF(D38&lt;&gt;0,C38/D38,0)</f>
        <v>5.655007856129695E-2</v>
      </c>
      <c r="G38" s="159"/>
      <c r="H38" s="54">
        <v>1.2830218458412175</v>
      </c>
      <c r="I38" s="72"/>
      <c r="J38" s="46">
        <f>SUM(J10,J17,J24,J31)</f>
        <v>384.6409816154885</v>
      </c>
      <c r="K38" s="83">
        <f>F38*(H38)</f>
        <v>7.2554986178181069E-2</v>
      </c>
      <c r="L38" s="84"/>
    </row>
    <row r="39" spans="1:12" x14ac:dyDescent="0.6">
      <c r="A39" s="338" t="s">
        <v>102</v>
      </c>
      <c r="B39" s="135">
        <f>SUM(B35:B38)</f>
        <v>1805.5195396782606</v>
      </c>
      <c r="C39" s="46">
        <f>SUM(C35:C38)</f>
        <v>61652.041589476008</v>
      </c>
      <c r="D39" s="135">
        <f>SUM(D35:D38)</f>
        <v>1252292.7852206526</v>
      </c>
      <c r="E39" s="135"/>
      <c r="F39" s="83"/>
      <c r="G39" s="159"/>
      <c r="H39" s="54"/>
      <c r="I39" s="72"/>
      <c r="J39" s="46">
        <f>SUM(J35:J38)</f>
        <v>85189.966731774417</v>
      </c>
      <c r="K39" s="83">
        <f>SUMPRODUCT(K35:K38,D35:D38)/D39</f>
        <v>6.8027195985772643E-2</v>
      </c>
      <c r="L39" s="84"/>
    </row>
    <row r="40" spans="1:12" ht="5.15" customHeight="1" x14ac:dyDescent="0.6">
      <c r="A40" s="81"/>
      <c r="B40" s="135"/>
      <c r="C40" s="46"/>
      <c r="D40" s="135"/>
      <c r="E40" s="135"/>
      <c r="F40" s="83"/>
      <c r="G40" s="159"/>
      <c r="H40" s="54"/>
      <c r="I40" s="72"/>
      <c r="J40" s="46"/>
      <c r="K40" s="83"/>
      <c r="L40" s="84"/>
    </row>
    <row r="41" spans="1:12" x14ac:dyDescent="0.6">
      <c r="A41" s="81"/>
      <c r="B41" s="135"/>
      <c r="C41" s="46"/>
      <c r="D41" s="135"/>
      <c r="E41" s="135"/>
      <c r="F41" s="83"/>
      <c r="G41" s="159"/>
      <c r="H41" s="54"/>
      <c r="I41" s="72"/>
      <c r="J41" s="46"/>
      <c r="K41" s="83"/>
      <c r="L41" s="84"/>
    </row>
    <row r="42" spans="1:12" ht="15.5" x14ac:dyDescent="0.7">
      <c r="A42" s="158" t="s">
        <v>58</v>
      </c>
      <c r="L42" s="84"/>
    </row>
    <row r="43" spans="1:12" ht="15.5" x14ac:dyDescent="0.7">
      <c r="A43" s="158" t="s">
        <v>787</v>
      </c>
      <c r="L43" s="84"/>
    </row>
    <row r="44" spans="1:12" ht="26" x14ac:dyDescent="0.6">
      <c r="A44" s="4"/>
      <c r="B44" s="189" t="s">
        <v>248</v>
      </c>
      <c r="C44" s="146" t="s">
        <v>249</v>
      </c>
      <c r="D44" s="168" t="s">
        <v>250</v>
      </c>
      <c r="E44" s="168"/>
      <c r="F44" s="169" t="s">
        <v>207</v>
      </c>
      <c r="G44" s="159"/>
      <c r="H44" s="190" t="s">
        <v>246</v>
      </c>
      <c r="I44" s="159"/>
      <c r="J44" s="189" t="s">
        <v>110</v>
      </c>
      <c r="K44" s="41" t="s">
        <v>133</v>
      </c>
      <c r="L44" s="84"/>
    </row>
    <row r="45" spans="1:12" x14ac:dyDescent="0.6">
      <c r="A45" s="15" t="s">
        <v>385</v>
      </c>
      <c r="B45" s="135"/>
      <c r="C45" s="46"/>
      <c r="D45" s="135"/>
      <c r="E45" s="135"/>
      <c r="F45" s="83"/>
      <c r="G45" s="159"/>
      <c r="H45" s="54"/>
      <c r="I45" s="72"/>
      <c r="J45" s="46"/>
      <c r="K45" s="83"/>
      <c r="L45" s="84"/>
    </row>
    <row r="46" spans="1:12" ht="5.15" customHeight="1" x14ac:dyDescent="0.6">
      <c r="A46" s="81"/>
      <c r="B46" s="135"/>
      <c r="C46" s="46"/>
      <c r="D46" s="135"/>
      <c r="E46" s="135"/>
      <c r="F46" s="83"/>
      <c r="G46" s="159"/>
      <c r="H46" s="54"/>
      <c r="I46" s="72"/>
      <c r="J46" s="46"/>
      <c r="K46" s="83"/>
      <c r="L46" s="84"/>
    </row>
    <row r="47" spans="1:12" x14ac:dyDescent="0.6">
      <c r="A47" s="89" t="s">
        <v>386</v>
      </c>
      <c r="B47" s="135"/>
      <c r="C47" s="46"/>
      <c r="D47" s="135"/>
      <c r="E47" s="135"/>
      <c r="F47" s="41"/>
      <c r="G47" s="159"/>
      <c r="H47" s="54"/>
      <c r="I47" s="72"/>
      <c r="J47" s="42"/>
      <c r="K47" s="41"/>
      <c r="L47" s="84"/>
    </row>
    <row r="48" spans="1:12" x14ac:dyDescent="0.6">
      <c r="A48" s="337" t="s">
        <v>135</v>
      </c>
      <c r="B48" s="135">
        <v>24.430699547046547</v>
      </c>
      <c r="C48" s="46">
        <v>1578.6585163786408</v>
      </c>
      <c r="D48" s="135">
        <v>22520.076748090341</v>
      </c>
      <c r="E48" s="135"/>
      <c r="F48" s="83">
        <f>IF(D48&lt;&gt;0,C48/D48,0)</f>
        <v>7.0100050458864804E-2</v>
      </c>
      <c r="G48" s="159"/>
      <c r="H48" s="54">
        <v>1.3820275853954722</v>
      </c>
      <c r="I48" s="72"/>
      <c r="J48" s="46">
        <f>C48*H48</f>
        <v>2181.7496175547712</v>
      </c>
      <c r="K48" s="83">
        <f>F48*(H48)</f>
        <v>9.6880203471765694E-2</v>
      </c>
      <c r="L48" s="84"/>
    </row>
    <row r="49" spans="1:12" x14ac:dyDescent="0.6">
      <c r="A49" s="338" t="s">
        <v>136</v>
      </c>
      <c r="B49" s="135">
        <v>4.9922911926859888</v>
      </c>
      <c r="C49" s="46">
        <v>170.84247760221095</v>
      </c>
      <c r="D49" s="135">
        <v>10825.674942707934</v>
      </c>
      <c r="E49" s="135"/>
      <c r="F49" s="83">
        <f>IF(D49&lt;&gt;0,C49/D49,0)</f>
        <v>1.5781231055463082E-2</v>
      </c>
      <c r="G49" s="159"/>
      <c r="H49" s="54">
        <v>1.2830218458412175</v>
      </c>
      <c r="I49" s="72"/>
      <c r="J49" s="46">
        <f>C49*H49</f>
        <v>219.19463096127555</v>
      </c>
      <c r="K49" s="83">
        <f>F49*(H49)</f>
        <v>2.0247664198426989E-2</v>
      </c>
      <c r="L49" s="84"/>
    </row>
    <row r="50" spans="1:12" x14ac:dyDescent="0.6">
      <c r="A50" s="337" t="s">
        <v>137</v>
      </c>
      <c r="B50" s="53">
        <v>1.6974481497848823</v>
      </c>
      <c r="C50" s="46">
        <v>67.396401910341751</v>
      </c>
      <c r="D50" s="53">
        <v>3680.8794183708951</v>
      </c>
      <c r="E50" s="135"/>
      <c r="F50" s="83">
        <f>IF(D50&lt;&gt;0,C50/D50,0)</f>
        <v>1.8309864097686319E-2</v>
      </c>
      <c r="G50" s="159"/>
      <c r="H50" s="54">
        <v>1.5107753644979616</v>
      </c>
      <c r="I50" s="72"/>
      <c r="J50" s="46">
        <f>C50*H50</f>
        <v>101.82082366194767</v>
      </c>
      <c r="K50" s="83">
        <f>F50*(H50)</f>
        <v>2.7662091606090188E-2</v>
      </c>
      <c r="L50" s="84"/>
    </row>
    <row r="51" spans="1:12" x14ac:dyDescent="0.6">
      <c r="A51" s="337" t="s">
        <v>107</v>
      </c>
      <c r="B51" s="53">
        <v>0.10072484671859644</v>
      </c>
      <c r="C51" s="46">
        <v>3.9297396047873527</v>
      </c>
      <c r="D51" s="53">
        <v>218.41964083087353</v>
      </c>
      <c r="E51" s="135"/>
      <c r="F51" s="83">
        <f>IF(D51&lt;&gt;0,C51/D51,0)</f>
        <v>1.7991695205790696E-2</v>
      </c>
      <c r="G51" s="159"/>
      <c r="H51" s="54">
        <v>1.2830218458412175</v>
      </c>
      <c r="I51" s="72"/>
      <c r="J51" s="46">
        <f>C51*H51</f>
        <v>5.041941761409606</v>
      </c>
      <c r="K51" s="83">
        <f>F51*(H51)</f>
        <v>2.308373799274616E-2</v>
      </c>
      <c r="L51" s="84"/>
    </row>
    <row r="52" spans="1:12" x14ac:dyDescent="0.6">
      <c r="A52" s="337" t="s">
        <v>277</v>
      </c>
      <c r="B52" s="53">
        <f>SUM(B48:B51)</f>
        <v>31.221163736236015</v>
      </c>
      <c r="C52" s="46">
        <f>SUM(C48:C51)</f>
        <v>1820.8271354959807</v>
      </c>
      <c r="D52" s="53">
        <f>SUM(D48:D51)</f>
        <v>37245.050750000046</v>
      </c>
      <c r="E52" s="135"/>
      <c r="F52" s="41"/>
      <c r="G52" s="159"/>
      <c r="H52" s="54"/>
      <c r="I52" s="72"/>
      <c r="J52" s="46">
        <f>SUM(J48:J51)</f>
        <v>2507.807013939404</v>
      </c>
      <c r="K52" s="83">
        <f>SUMPRODUCT(K48:K51,D48:D51)/D52</f>
        <v>6.7332624427673821E-2</v>
      </c>
      <c r="L52" s="84"/>
    </row>
    <row r="53" spans="1:12" x14ac:dyDescent="0.6">
      <c r="A53" s="21"/>
      <c r="B53" s="135"/>
      <c r="C53" s="135"/>
      <c r="D53" s="135"/>
      <c r="E53" s="135"/>
      <c r="F53" s="83"/>
      <c r="G53" s="159"/>
      <c r="H53" s="54"/>
      <c r="I53" s="72"/>
      <c r="J53" s="46"/>
      <c r="K53" s="83"/>
      <c r="L53" s="84"/>
    </row>
    <row r="54" spans="1:12" ht="5.15" customHeight="1" x14ac:dyDescent="0.6">
      <c r="B54" s="57"/>
      <c r="C54" s="57"/>
      <c r="D54" s="57"/>
      <c r="E54" s="40"/>
      <c r="F54" s="41"/>
      <c r="G54" s="159"/>
      <c r="H54" s="54"/>
      <c r="I54" s="72"/>
      <c r="J54" s="42"/>
      <c r="K54" s="41"/>
    </row>
    <row r="55" spans="1:12" x14ac:dyDescent="0.6">
      <c r="A55" s="89" t="s">
        <v>387</v>
      </c>
      <c r="B55" s="57"/>
      <c r="C55" s="57"/>
      <c r="D55" s="57"/>
      <c r="E55" s="40"/>
      <c r="F55" s="41"/>
      <c r="G55" s="159"/>
      <c r="H55" s="54"/>
      <c r="I55" s="72"/>
      <c r="J55" s="42"/>
      <c r="K55" s="41"/>
    </row>
    <row r="56" spans="1:12" x14ac:dyDescent="0.6">
      <c r="A56" s="337" t="s">
        <v>135</v>
      </c>
      <c r="B56" s="135">
        <v>7.8537544767828074</v>
      </c>
      <c r="C56" s="46">
        <v>507.49248364518951</v>
      </c>
      <c r="D56" s="135">
        <v>7239.5451975172173</v>
      </c>
      <c r="E56" s="135"/>
      <c r="F56" s="83">
        <f>IF(D56&lt;&gt;0,C56/D56,0)</f>
        <v>7.0100050458864832E-2</v>
      </c>
      <c r="G56" s="159"/>
      <c r="H56" s="54">
        <v>1.3820275853954722</v>
      </c>
      <c r="I56" s="72"/>
      <c r="J56" s="46">
        <f>C56*H56</f>
        <v>701.36861177851245</v>
      </c>
      <c r="K56" s="83">
        <f>F56*(H56)</f>
        <v>9.6880203471765722E-2</v>
      </c>
    </row>
    <row r="57" spans="1:12" x14ac:dyDescent="0.6">
      <c r="A57" s="338" t="s">
        <v>136</v>
      </c>
      <c r="B57" s="135">
        <v>1.5629248433494123</v>
      </c>
      <c r="C57" s="46">
        <v>53.485252009148184</v>
      </c>
      <c r="D57" s="135">
        <v>3389.1685522615085</v>
      </c>
      <c r="E57" s="135"/>
      <c r="F57" s="83">
        <f>IF(D57&lt;&gt;0,C57/D57,0)</f>
        <v>1.5781231055463085E-2</v>
      </c>
      <c r="G57" s="159"/>
      <c r="H57" s="54">
        <v>1.2830218458412175</v>
      </c>
      <c r="I57" s="72"/>
      <c r="J57" s="46">
        <f>C57*H57</f>
        <v>68.622746758059989</v>
      </c>
      <c r="K57" s="83">
        <f>F57*(H57)</f>
        <v>2.0247664198426992E-2</v>
      </c>
    </row>
    <row r="58" spans="1:12" x14ac:dyDescent="0.6">
      <c r="A58" s="337" t="s">
        <v>137</v>
      </c>
      <c r="B58" s="53">
        <v>0.48461482638307396</v>
      </c>
      <c r="C58" s="46">
        <v>19.241409886224396</v>
      </c>
      <c r="D58" s="53">
        <v>1050.8767177936502</v>
      </c>
      <c r="E58" s="135"/>
      <c r="F58" s="83">
        <f>IF(D58&lt;&gt;0,C58/D58,0)</f>
        <v>1.8309864097686323E-2</v>
      </c>
      <c r="G58" s="159"/>
      <c r="H58" s="54">
        <v>1.5107753644979616</v>
      </c>
      <c r="I58" s="72"/>
      <c r="J58" s="46">
        <f>C58*H58</f>
        <v>29.069448034315343</v>
      </c>
      <c r="K58" s="83">
        <f>F58*(H58)</f>
        <v>2.7662091606090195E-2</v>
      </c>
    </row>
    <row r="59" spans="1:12" x14ac:dyDescent="0.6">
      <c r="A59" s="337" t="s">
        <v>107</v>
      </c>
      <c r="B59" s="53">
        <v>2.5162787244317274E-2</v>
      </c>
      <c r="C59" s="46">
        <v>0.98171607922214066</v>
      </c>
      <c r="D59" s="53">
        <v>54.56495722016075</v>
      </c>
      <c r="E59" s="135"/>
      <c r="F59" s="83">
        <f>IF(D59&lt;&gt;0,C59/D59,0)</f>
        <v>1.7991695205790699E-2</v>
      </c>
      <c r="G59" s="159"/>
      <c r="H59" s="54">
        <v>1.2830218458412175</v>
      </c>
      <c r="I59" s="72"/>
      <c r="J59" s="46">
        <f>C59*H59</f>
        <v>1.2595631760555939</v>
      </c>
      <c r="K59" s="83">
        <f>F59*(H59)</f>
        <v>2.3083737992746167E-2</v>
      </c>
    </row>
    <row r="60" spans="1:12" x14ac:dyDescent="0.6">
      <c r="A60" s="337" t="s">
        <v>277</v>
      </c>
      <c r="B60" s="53">
        <f>SUM(B56:B59)</f>
        <v>9.9264569337596118</v>
      </c>
      <c r="C60" s="46">
        <f>SUM(C56:C59)</f>
        <v>581.20086161978418</v>
      </c>
      <c r="D60" s="53">
        <f>SUM(D56:D59)</f>
        <v>11734.155424792536</v>
      </c>
      <c r="E60" s="135"/>
      <c r="F60" s="41"/>
      <c r="G60" s="159"/>
      <c r="H60" s="54"/>
      <c r="I60" s="72"/>
      <c r="J60" s="46">
        <f>SUM(J56:J59)</f>
        <v>800.32036974694336</v>
      </c>
      <c r="K60" s="83">
        <f>SUMPRODUCT(K56:K59,D56:D59)/D60</f>
        <v>6.8204343710667456E-2</v>
      </c>
    </row>
    <row r="61" spans="1:12" ht="5.15" customHeight="1" x14ac:dyDescent="0.6">
      <c r="B61" s="135"/>
      <c r="C61" s="135"/>
      <c r="D61" s="135"/>
      <c r="E61" s="135"/>
      <c r="F61" s="41"/>
      <c r="G61" s="159"/>
      <c r="H61" s="54"/>
      <c r="I61" s="72"/>
      <c r="J61" s="42"/>
      <c r="K61" s="41"/>
    </row>
    <row r="62" spans="1:12" x14ac:dyDescent="0.6">
      <c r="A62" s="89" t="s">
        <v>388</v>
      </c>
      <c r="B62" s="11"/>
      <c r="C62" s="11"/>
      <c r="D62" s="11"/>
      <c r="E62" s="11"/>
      <c r="F62" s="11"/>
      <c r="G62" s="11"/>
      <c r="I62" s="11"/>
      <c r="J62" s="11"/>
      <c r="K62" s="11"/>
    </row>
    <row r="63" spans="1:12" x14ac:dyDescent="0.6">
      <c r="A63" s="337" t="s">
        <v>135</v>
      </c>
      <c r="B63" s="135">
        <v>4.2871487922889626</v>
      </c>
      <c r="C63" s="46">
        <v>277.02620380952453</v>
      </c>
      <c r="D63" s="135">
        <v>3951.8688217219683</v>
      </c>
      <c r="E63" s="11"/>
      <c r="F63" s="83">
        <f>IF(D63&lt;&gt;0,C63/D63,0)</f>
        <v>7.010005045886479E-2</v>
      </c>
      <c r="G63" s="11"/>
      <c r="H63" s="54">
        <v>1.3820275853954722</v>
      </c>
      <c r="I63" s="11"/>
      <c r="J63" s="46">
        <f>C63*H63</f>
        <v>382.85785554215113</v>
      </c>
      <c r="K63" s="83">
        <f>F63*(H63)</f>
        <v>9.6880203471765666E-2</v>
      </c>
    </row>
    <row r="64" spans="1:12" x14ac:dyDescent="0.6">
      <c r="A64" s="338" t="s">
        <v>136</v>
      </c>
      <c r="B64" s="135">
        <v>1.0983025920023384</v>
      </c>
      <c r="C64" s="46">
        <v>37.585294753941639</v>
      </c>
      <c r="D64" s="135">
        <v>2381.6452988900705</v>
      </c>
      <c r="E64" s="11"/>
      <c r="F64" s="83">
        <f>IF(D64&lt;&gt;0,C64/D64,0)</f>
        <v>1.5781231055463085E-2</v>
      </c>
      <c r="G64" s="11"/>
      <c r="H64" s="54">
        <v>1.2830218458412175</v>
      </c>
      <c r="I64" s="11"/>
      <c r="J64" s="46">
        <f>C64*H64</f>
        <v>48.222754251688428</v>
      </c>
      <c r="K64" s="83">
        <f>F64*(H64)</f>
        <v>2.0247664198426992E-2</v>
      </c>
    </row>
    <row r="65" spans="1:13" x14ac:dyDescent="0.6">
      <c r="A65" s="337" t="s">
        <v>137</v>
      </c>
      <c r="B65" s="53">
        <v>0.6041137081916671</v>
      </c>
      <c r="C65" s="46">
        <v>23.986058296974985</v>
      </c>
      <c r="D65" s="53">
        <v>1310.0074456590819</v>
      </c>
      <c r="E65" s="11"/>
      <c r="F65" s="83">
        <f>IF(D65&lt;&gt;0,C65/D65,0)</f>
        <v>1.8309864097686319E-2</v>
      </c>
      <c r="G65" s="11"/>
      <c r="H65" s="54">
        <v>1.5107753644979616</v>
      </c>
      <c r="I65" s="11"/>
      <c r="J65" s="46">
        <f>C65*H65</f>
        <v>36.23754596648174</v>
      </c>
      <c r="K65" s="83">
        <f>F65*(H65)</f>
        <v>2.7662091606090188E-2</v>
      </c>
    </row>
    <row r="66" spans="1:13" x14ac:dyDescent="0.6">
      <c r="A66" s="337" t="s">
        <v>107</v>
      </c>
      <c r="B66" s="53">
        <v>4.9108735218889817E-2</v>
      </c>
      <c r="C66" s="46">
        <v>1.9159576610708988</v>
      </c>
      <c r="D66" s="53">
        <v>106.49122493216984</v>
      </c>
      <c r="E66" s="11"/>
      <c r="F66" s="83">
        <f>IF(D66&lt;&gt;0,C66/D66,0)</f>
        <v>1.7991695205790696E-2</v>
      </c>
      <c r="G66" s="11"/>
      <c r="H66" s="54">
        <v>1.2830218458412175</v>
      </c>
      <c r="I66" s="11"/>
      <c r="J66" s="46">
        <f>C66*H66</f>
        <v>2.4582155348608064</v>
      </c>
      <c r="K66" s="83">
        <f>F66*(H66)</f>
        <v>2.308373799274616E-2</v>
      </c>
    </row>
    <row r="67" spans="1:13" x14ac:dyDescent="0.6">
      <c r="A67" s="337" t="s">
        <v>277</v>
      </c>
      <c r="B67" s="53">
        <f>SUM(B63:B66)</f>
        <v>6.0386738277018575</v>
      </c>
      <c r="C67" s="46">
        <f>SUM(C63:C66)</f>
        <v>340.51351452151204</v>
      </c>
      <c r="D67" s="53">
        <f>SUM(D63:D66)</f>
        <v>7750.0127912032904</v>
      </c>
      <c r="E67" s="11"/>
      <c r="F67" s="11"/>
      <c r="G67" s="11"/>
      <c r="I67" s="11"/>
      <c r="J67" s="46">
        <f>SUM(J63:J66)</f>
        <v>469.77637129518212</v>
      </c>
      <c r="K67" s="83">
        <f>SUMPRODUCT(K63:K66,D63:D66)/D67</f>
        <v>6.0616205927867019E-2</v>
      </c>
    </row>
    <row r="68" spans="1:13" ht="5.15" customHeight="1" x14ac:dyDescent="0.6">
      <c r="A68" s="21"/>
      <c r="B68" s="135"/>
      <c r="C68" s="46"/>
      <c r="D68" s="135"/>
      <c r="E68" s="135"/>
      <c r="F68" s="41"/>
      <c r="G68" s="159"/>
      <c r="H68" s="54"/>
      <c r="I68" s="72"/>
      <c r="J68" s="42"/>
      <c r="K68" s="41"/>
    </row>
    <row r="69" spans="1:13" ht="12.75" customHeight="1" x14ac:dyDescent="0.6">
      <c r="A69" s="89" t="s">
        <v>389</v>
      </c>
      <c r="B69" s="135"/>
      <c r="C69" s="46"/>
      <c r="D69" s="135"/>
      <c r="E69" s="135"/>
      <c r="F69" s="83"/>
      <c r="G69" s="159"/>
      <c r="H69" s="54"/>
      <c r="I69" s="72"/>
      <c r="J69" s="46"/>
      <c r="K69" s="83"/>
    </row>
    <row r="70" spans="1:13" ht="12.75" customHeight="1" x14ac:dyDescent="0.6">
      <c r="A70" s="337" t="s">
        <v>135</v>
      </c>
      <c r="B70" s="135">
        <f t="shared" ref="B70:D73" si="1">SUM(B48,B56,B63)</f>
        <v>36.571602816118315</v>
      </c>
      <c r="C70" s="46">
        <f t="shared" si="1"/>
        <v>2363.1772038333547</v>
      </c>
      <c r="D70" s="135">
        <f t="shared" si="1"/>
        <v>33711.490767329531</v>
      </c>
      <c r="E70" s="135"/>
      <c r="F70" s="83">
        <f>IF(D70&lt;&gt;0,C70/D70,0)</f>
        <v>7.010005045886479E-2</v>
      </c>
      <c r="G70" s="159"/>
      <c r="H70" s="54">
        <v>1.3820275853954722</v>
      </c>
      <c r="I70" s="72"/>
      <c r="J70" s="46">
        <f>C70*H70</f>
        <v>3265.9760848754349</v>
      </c>
      <c r="K70" s="83">
        <f>F70*(H70)</f>
        <v>9.6880203471765666E-2</v>
      </c>
    </row>
    <row r="71" spans="1:13" ht="12.75" customHeight="1" x14ac:dyDescent="0.6">
      <c r="A71" s="338" t="s">
        <v>136</v>
      </c>
      <c r="B71" s="135">
        <f t="shared" si="1"/>
        <v>7.6535186280377392</v>
      </c>
      <c r="C71" s="46">
        <f t="shared" si="1"/>
        <v>261.91302436530077</v>
      </c>
      <c r="D71" s="135">
        <f t="shared" si="1"/>
        <v>16596.488793859513</v>
      </c>
      <c r="E71" s="135"/>
      <c r="F71" s="83">
        <f>IF(D71&lt;&gt;0,C71/D71,0)</f>
        <v>1.5781231055463082E-2</v>
      </c>
      <c r="G71" s="159"/>
      <c r="H71" s="54">
        <v>1.2830218458412175</v>
      </c>
      <c r="I71" s="72"/>
      <c r="J71" s="46">
        <f>C71*H71</f>
        <v>336.04013197102398</v>
      </c>
      <c r="K71" s="83">
        <f>F71*(H71)</f>
        <v>2.0247664198426989E-2</v>
      </c>
    </row>
    <row r="72" spans="1:13" ht="12.75" customHeight="1" x14ac:dyDescent="0.6">
      <c r="A72" s="337" t="s">
        <v>137</v>
      </c>
      <c r="B72" s="135">
        <f t="shared" si="1"/>
        <v>2.7861766843596234</v>
      </c>
      <c r="C72" s="46">
        <f t="shared" si="1"/>
        <v>110.62387009354114</v>
      </c>
      <c r="D72" s="135">
        <f t="shared" si="1"/>
        <v>6041.7635818236276</v>
      </c>
      <c r="E72" s="135"/>
      <c r="F72" s="83">
        <f>IF(D72&lt;&gt;0,C72/D72,0)</f>
        <v>1.8309864097686319E-2</v>
      </c>
      <c r="G72" s="159"/>
      <c r="H72" s="54">
        <v>1.5107753644979616</v>
      </c>
      <c r="I72" s="72"/>
      <c r="J72" s="46">
        <f>C72*H72</f>
        <v>167.12781766274477</v>
      </c>
      <c r="K72" s="83">
        <f>F72*(H72)</f>
        <v>2.7662091606090188E-2</v>
      </c>
    </row>
    <row r="73" spans="1:13" ht="12.75" customHeight="1" x14ac:dyDescent="0.6">
      <c r="A73" s="337" t="s">
        <v>107</v>
      </c>
      <c r="B73" s="135">
        <f t="shared" si="1"/>
        <v>0.17499636918180353</v>
      </c>
      <c r="C73" s="46">
        <f t="shared" si="1"/>
        <v>6.8274133450803927</v>
      </c>
      <c r="D73" s="135">
        <f t="shared" si="1"/>
        <v>379.47582298320413</v>
      </c>
      <c r="E73" s="135"/>
      <c r="F73" s="83">
        <f>IF(D73&lt;&gt;0,C73/D73,0)</f>
        <v>1.7991695205790696E-2</v>
      </c>
      <c r="G73" s="159"/>
      <c r="H73" s="54">
        <v>1.2830218458412175</v>
      </c>
      <c r="I73" s="72"/>
      <c r="J73" s="46">
        <f>C73*H73</f>
        <v>8.7597204723260074</v>
      </c>
      <c r="K73" s="83">
        <f>F73*(H73)</f>
        <v>2.308373799274616E-2</v>
      </c>
    </row>
    <row r="74" spans="1:13" ht="12.75" customHeight="1" x14ac:dyDescent="0.6">
      <c r="A74" s="337" t="s">
        <v>102</v>
      </c>
      <c r="B74" s="135">
        <f>SUM(B70:B73)</f>
        <v>47.186294497697482</v>
      </c>
      <c r="C74" s="46">
        <f>SUM(C70:C73)</f>
        <v>2742.5415116372769</v>
      </c>
      <c r="D74" s="135">
        <f>SUM(D70:D73)</f>
        <v>56729.218965995882</v>
      </c>
      <c r="E74" s="135"/>
      <c r="F74" s="41"/>
      <c r="G74" s="159"/>
      <c r="H74" s="54"/>
      <c r="I74" s="72"/>
      <c r="J74" s="46">
        <f>SUM(J70:J73)</f>
        <v>3777.9037549815298</v>
      </c>
      <c r="K74" s="83">
        <f>SUMPRODUCT(K70:K73,D70:D73)/D74</f>
        <v>6.6595377546904824E-2</v>
      </c>
    </row>
    <row r="75" spans="1:13" ht="5.15" customHeight="1" x14ac:dyDescent="0.6">
      <c r="A75" s="21"/>
      <c r="B75" s="135"/>
      <c r="C75" s="46"/>
      <c r="D75" s="135"/>
      <c r="E75" s="135"/>
      <c r="F75" s="41"/>
      <c r="G75" s="159"/>
      <c r="H75" s="54"/>
      <c r="I75" s="72"/>
      <c r="J75" s="42"/>
      <c r="K75" s="41"/>
    </row>
    <row r="76" spans="1:13" x14ac:dyDescent="0.6">
      <c r="A76" s="81"/>
      <c r="B76" s="135"/>
      <c r="C76" s="46"/>
      <c r="D76" s="135"/>
      <c r="E76" s="135"/>
      <c r="F76" s="83"/>
      <c r="G76" s="159"/>
      <c r="H76" s="54"/>
      <c r="I76" s="72"/>
      <c r="J76" s="46"/>
      <c r="K76" s="83"/>
      <c r="L76" s="84"/>
    </row>
    <row r="77" spans="1:13" x14ac:dyDescent="0.6">
      <c r="A77" s="15" t="s">
        <v>285</v>
      </c>
      <c r="B77" s="48"/>
      <c r="C77" s="42"/>
      <c r="D77" s="40"/>
      <c r="E77" s="40"/>
      <c r="F77" s="41"/>
      <c r="G77" s="159"/>
      <c r="H77" s="54"/>
      <c r="I77" s="72"/>
      <c r="J77" s="42"/>
      <c r="K77" s="41"/>
    </row>
    <row r="78" spans="1:13" x14ac:dyDescent="0.6">
      <c r="A78" s="337" t="s">
        <v>135</v>
      </c>
      <c r="B78" s="135">
        <v>385.51506533248374</v>
      </c>
      <c r="C78" s="46">
        <v>24911.142634594245</v>
      </c>
      <c r="D78" s="135">
        <v>1004701.5943137391</v>
      </c>
      <c r="E78" s="135"/>
      <c r="F78" s="83">
        <f>IF(D78&lt;&gt;0,C78/D78,0)</f>
        <v>2.4794568631703814E-2</v>
      </c>
      <c r="G78" s="159"/>
      <c r="H78" s="54">
        <v>1.3820275853954722</v>
      </c>
      <c r="I78" s="72"/>
      <c r="J78" s="46">
        <f>C78*H78</f>
        <v>34427.886304730484</v>
      </c>
      <c r="K78" s="83">
        <f>F78*(H78)</f>
        <v>3.4266777816995941E-2</v>
      </c>
      <c r="M78" s="63"/>
    </row>
    <row r="79" spans="1:13" x14ac:dyDescent="0.6">
      <c r="A79" s="338" t="s">
        <v>136</v>
      </c>
      <c r="B79" s="135">
        <v>126.11942338633081</v>
      </c>
      <c r="C79" s="46">
        <v>4315.9651417469386</v>
      </c>
      <c r="D79" s="135">
        <v>392411.81583631894</v>
      </c>
      <c r="E79" s="135"/>
      <c r="F79" s="83">
        <f>IF(D79&lt;&gt;0,C79/D79,0)</f>
        <v>1.0998560613035144E-2</v>
      </c>
      <c r="G79" s="159"/>
      <c r="H79" s="54">
        <v>1.2830218458412175</v>
      </c>
      <c r="I79" s="72"/>
      <c r="J79" s="46">
        <f>C79*H79</f>
        <v>5537.4775627505087</v>
      </c>
      <c r="K79" s="83">
        <f>F79*(H79)</f>
        <v>1.4111393539332863E-2</v>
      </c>
      <c r="M79" s="63"/>
    </row>
    <row r="80" spans="1:13" x14ac:dyDescent="0.6">
      <c r="A80" s="337" t="s">
        <v>137</v>
      </c>
      <c r="B80" s="135">
        <v>57.11450153716126</v>
      </c>
      <c r="C80" s="46">
        <v>2463.0971474910016</v>
      </c>
      <c r="D80" s="135">
        <v>177707.79993284369</v>
      </c>
      <c r="E80" s="135"/>
      <c r="F80" s="83">
        <f>IF(D80&lt;&gt;0,C80/D80,0)</f>
        <v>1.3860377250868073E-2</v>
      </c>
      <c r="G80" s="159"/>
      <c r="H80" s="54">
        <v>1.5107753644979616</v>
      </c>
      <c r="I80" s="72"/>
      <c r="J80" s="46">
        <f>C80*H80</f>
        <v>3721.1864907946074</v>
      </c>
      <c r="K80" s="83">
        <f>F80*(H80)</f>
        <v>2.0939916493259467E-2</v>
      </c>
      <c r="M80" s="63"/>
    </row>
    <row r="81" spans="1:20" x14ac:dyDescent="0.6">
      <c r="A81" s="337" t="s">
        <v>107</v>
      </c>
      <c r="B81" s="135">
        <v>2.2113471747390463</v>
      </c>
      <c r="C81" s="46">
        <v>86.274825483573991</v>
      </c>
      <c r="D81" s="135">
        <v>6880.4529626315525</v>
      </c>
      <c r="E81" s="135"/>
      <c r="F81" s="83">
        <f>IF(D81&lt;&gt;0,C81/D81,0)</f>
        <v>1.2539120019007678E-2</v>
      </c>
      <c r="G81" s="159"/>
      <c r="H81" s="54">
        <v>1.2830218458412175</v>
      </c>
      <c r="I81" s="72"/>
      <c r="J81" s="46">
        <f>C81*H81</f>
        <v>110.69248584156401</v>
      </c>
      <c r="K81" s="83">
        <f>F81*(H81)</f>
        <v>1.6087964912011792E-2</v>
      </c>
      <c r="M81" s="63"/>
    </row>
    <row r="82" spans="1:20" x14ac:dyDescent="0.6">
      <c r="A82" s="337" t="s">
        <v>102</v>
      </c>
      <c r="B82" s="135">
        <f>SUM(B78:B81)</f>
        <v>570.96033743071484</v>
      </c>
      <c r="C82" s="46">
        <f>SUM(C78:C81)</f>
        <v>31776.47974931576</v>
      </c>
      <c r="D82" s="135">
        <f>SUM(D78:D81)</f>
        <v>1581701.6630455335</v>
      </c>
      <c r="E82" s="135"/>
      <c r="F82" s="83">
        <f>IF(D82&lt;&gt;0,C82/D82,0)</f>
        <v>2.00900590115906E-2</v>
      </c>
      <c r="G82" s="159"/>
      <c r="H82" s="54"/>
      <c r="I82" s="72"/>
      <c r="J82" s="46">
        <f>SUM(J78:J81)</f>
        <v>43797.242844117165</v>
      </c>
      <c r="K82" s="83">
        <f>SUMPRODUCT(K78:K81,D78:D81)/D82</f>
        <v>2.7689951820488383E-2</v>
      </c>
      <c r="M82" s="63"/>
    </row>
    <row r="83" spans="1:20" ht="5.15" customHeight="1" x14ac:dyDescent="0.6">
      <c r="B83" s="57"/>
      <c r="C83" s="46"/>
      <c r="D83" s="44"/>
      <c r="E83" s="44"/>
      <c r="F83" s="45"/>
      <c r="G83" s="23"/>
      <c r="H83" s="55"/>
      <c r="I83" s="79"/>
      <c r="J83" s="46"/>
      <c r="K83" s="41"/>
    </row>
    <row r="84" spans="1:20" ht="12.75" customHeight="1" x14ac:dyDescent="0.6"/>
    <row r="85" spans="1:20" ht="15.5" x14ac:dyDescent="0.7">
      <c r="A85" s="158" t="s">
        <v>59</v>
      </c>
    </row>
    <row r="86" spans="1:20" ht="15.5" x14ac:dyDescent="0.7">
      <c r="A86" s="158" t="s">
        <v>787</v>
      </c>
    </row>
    <row r="87" spans="1:20" ht="26" x14ac:dyDescent="0.6">
      <c r="A87" s="4"/>
      <c r="B87" s="189" t="s">
        <v>223</v>
      </c>
      <c r="C87" s="146" t="s">
        <v>217</v>
      </c>
      <c r="D87" s="168" t="s">
        <v>222</v>
      </c>
      <c r="E87" s="168"/>
      <c r="F87" s="169" t="s">
        <v>207</v>
      </c>
      <c r="G87" s="159"/>
      <c r="H87" s="190" t="s">
        <v>246</v>
      </c>
      <c r="I87" s="159"/>
      <c r="J87" s="189" t="s">
        <v>110</v>
      </c>
      <c r="K87" s="41" t="s">
        <v>133</v>
      </c>
    </row>
    <row r="88" spans="1:20" x14ac:dyDescent="0.6">
      <c r="A88" s="25" t="s">
        <v>390</v>
      </c>
      <c r="B88" s="57"/>
      <c r="C88" s="46"/>
      <c r="D88" s="44"/>
      <c r="E88" s="44"/>
      <c r="F88" s="45"/>
      <c r="G88" s="23"/>
      <c r="H88" s="55"/>
      <c r="I88" s="79"/>
      <c r="J88" s="46"/>
      <c r="K88" s="41"/>
      <c r="N88" s="63"/>
    </row>
    <row r="89" spans="1:20" x14ac:dyDescent="0.6">
      <c r="A89" s="21" t="s">
        <v>186</v>
      </c>
      <c r="B89" s="57"/>
      <c r="C89" s="46"/>
      <c r="D89" s="44"/>
      <c r="E89" s="44"/>
      <c r="F89" s="45"/>
      <c r="G89" s="23"/>
      <c r="H89" s="55"/>
      <c r="I89" s="79"/>
      <c r="J89" s="46"/>
      <c r="K89" s="41"/>
      <c r="N89" s="63"/>
    </row>
    <row r="90" spans="1:20" x14ac:dyDescent="0.6">
      <c r="A90" s="81" t="s">
        <v>138</v>
      </c>
      <c r="B90" s="56" t="s">
        <v>106</v>
      </c>
      <c r="C90" s="46">
        <f>'Table 3.14-Route UAA'!C90*SUM($D$103,$D$109)/SUM($D$103,$D$109,'Table 3.15-Route UAA NoPARS'!$D$103,'Table 3.15-Route UAA NoPARS'!$D$109)</f>
        <v>752.97120469587105</v>
      </c>
      <c r="D90" s="40">
        <f>'Table 3.14-Route UAA'!D90*SUM($D$103,$D$109)/SUM($D$103,$D$109,'Table 3.15-Route UAA NoPARS'!$D$103,'Table 3.15-Route UAA NoPARS'!$D$109)</f>
        <v>13529.656989072908</v>
      </c>
      <c r="E90" s="184" t="s">
        <v>239</v>
      </c>
      <c r="F90" s="83">
        <f>IF(D90&lt;&gt;0,C90/D90,0)</f>
        <v>5.5653384657423373E-2</v>
      </c>
      <c r="G90" s="285" t="s">
        <v>240</v>
      </c>
      <c r="H90" s="54">
        <v>1.3727750819950504</v>
      </c>
      <c r="I90" s="72"/>
      <c r="J90" s="46">
        <f>C90*H90</f>
        <v>1033.6601072662863</v>
      </c>
      <c r="K90" s="83">
        <f>F90*(H90)</f>
        <v>7.6399579686396449E-2</v>
      </c>
      <c r="P90" s="140"/>
      <c r="Q90" s="140"/>
      <c r="R90" s="140"/>
      <c r="S90" s="140"/>
      <c r="T90" s="140"/>
    </row>
    <row r="91" spans="1:20" x14ac:dyDescent="0.6">
      <c r="A91" s="81" t="s">
        <v>781</v>
      </c>
      <c r="B91" s="56" t="s">
        <v>106</v>
      </c>
      <c r="C91" s="46">
        <f>'Table 3.14-Route UAA'!C91*SUM($D$103,$D$109)/SUM($D$103,$D$109,'Table 3.15-Route UAA NoPARS'!$D$103,'Table 3.15-Route UAA NoPARS'!$D$109)</f>
        <v>3059.9368746566265</v>
      </c>
      <c r="D91" s="40">
        <f>'Table 3.14-Route UAA'!D91*SUM($D$103,$D$109)/SUM($D$103,$D$109,'Table 3.15-Route UAA NoPARS'!$D$103,'Table 3.15-Route UAA NoPARS'!$D$109)</f>
        <v>13529.656989072908</v>
      </c>
      <c r="E91" s="184" t="s">
        <v>239</v>
      </c>
      <c r="F91" s="83">
        <f>IF(D91&lt;&gt;0,C91/D91,0)</f>
        <v>0.22616514795075396</v>
      </c>
      <c r="G91" s="285" t="s">
        <v>240</v>
      </c>
      <c r="H91" s="340">
        <v>1.7516721267338493</v>
      </c>
      <c r="I91" s="72"/>
      <c r="J91" s="46">
        <f>C91*H91</f>
        <v>5360.0061329011014</v>
      </c>
      <c r="K91" s="83">
        <f>F91*(H91)</f>
        <v>0.39616718570397286</v>
      </c>
      <c r="L91" s="64"/>
      <c r="M91" s="442"/>
    </row>
    <row r="92" spans="1:20" x14ac:dyDescent="0.6">
      <c r="A92" s="21" t="s">
        <v>187</v>
      </c>
      <c r="B92" s="56"/>
      <c r="C92" s="46"/>
      <c r="D92" s="40"/>
      <c r="E92" s="40"/>
      <c r="F92" s="41"/>
      <c r="G92" s="159"/>
      <c r="H92" s="54"/>
      <c r="I92" s="72"/>
      <c r="J92" s="42"/>
      <c r="K92" s="41"/>
    </row>
    <row r="93" spans="1:20" x14ac:dyDescent="0.6">
      <c r="A93" s="81" t="s">
        <v>138</v>
      </c>
      <c r="B93" s="56" t="s">
        <v>106</v>
      </c>
      <c r="C93" s="46">
        <f>'Table 3.14-Route UAA'!C93*$D$111/SUM($D$111,'Table 3.15-Route UAA NoPARS'!$D$111)</f>
        <v>173.87268737958846</v>
      </c>
      <c r="D93" s="40">
        <f>'Table 3.14-Route UAA'!D93*$D$111/SUM($D$111,'Table 3.15-Route UAA NoPARS'!$D$111)</f>
        <v>3412.2366520017931</v>
      </c>
      <c r="E93" s="184" t="s">
        <v>239</v>
      </c>
      <c r="F93" s="83">
        <f>IF(D93&lt;&gt;0,C93/D93,0)</f>
        <v>5.0955635588049213E-2</v>
      </c>
      <c r="G93" s="285" t="s">
        <v>240</v>
      </c>
      <c r="H93" s="54">
        <v>1.3727750819950504</v>
      </c>
      <c r="I93" s="72"/>
      <c r="J93" s="46">
        <f>C93*H93</f>
        <v>238.68809267421432</v>
      </c>
      <c r="K93" s="83">
        <f>F93*(H93)</f>
        <v>6.9950626822494172E-2</v>
      </c>
    </row>
    <row r="94" spans="1:20" x14ac:dyDescent="0.6">
      <c r="A94" s="81" t="s">
        <v>781</v>
      </c>
      <c r="B94" s="56" t="s">
        <v>106</v>
      </c>
      <c r="C94" s="46">
        <f>'Table 3.14-Route UAA'!C94*$D$111/SUM($D$111,'Table 3.15-Route UAA NoPARS'!$D$111)</f>
        <v>355.57729221843141</v>
      </c>
      <c r="D94" s="40">
        <f>'Table 3.14-Route UAA'!D94*$D$111/SUM($D$111,'Table 3.15-Route UAA NoPARS'!$D$111)</f>
        <v>3412.2366520017931</v>
      </c>
      <c r="E94" s="184" t="s">
        <v>239</v>
      </c>
      <c r="F94" s="83">
        <f>IF(D94&lt;&gt;0,C94/D94,0)</f>
        <v>0.10420651569105897</v>
      </c>
      <c r="G94" s="285" t="s">
        <v>240</v>
      </c>
      <c r="H94" s="340">
        <v>1.7516721267338493</v>
      </c>
      <c r="I94" s="79"/>
      <c r="J94" s="46">
        <f>C94*H94</f>
        <v>622.85483167852317</v>
      </c>
      <c r="K94" s="83">
        <f>F94*(H94)</f>
        <v>0.18253564896008151</v>
      </c>
      <c r="L94" s="64"/>
      <c r="M94" s="442"/>
    </row>
    <row r="95" spans="1:20" x14ac:dyDescent="0.6">
      <c r="A95" s="81"/>
      <c r="B95" s="57"/>
      <c r="C95" s="46"/>
      <c r="D95" s="44"/>
      <c r="E95" s="44"/>
      <c r="F95" s="45"/>
      <c r="G95" s="23"/>
      <c r="H95" s="55"/>
      <c r="I95" s="79"/>
      <c r="J95" s="46"/>
      <c r="K95" s="41"/>
    </row>
    <row r="96" spans="1:20" x14ac:dyDescent="0.6">
      <c r="A96" s="25" t="s">
        <v>391</v>
      </c>
      <c r="B96" s="57"/>
      <c r="C96" s="46"/>
      <c r="D96" s="44"/>
      <c r="E96" s="44"/>
      <c r="F96" s="45"/>
      <c r="G96" s="23"/>
      <c r="H96" s="55"/>
      <c r="I96" s="79"/>
      <c r="J96" s="46"/>
      <c r="K96" s="41"/>
    </row>
    <row r="97" spans="1:24" ht="5.15" customHeight="1" x14ac:dyDescent="0.6">
      <c r="A97" s="25"/>
      <c r="B97" s="57"/>
      <c r="C97" s="46"/>
      <c r="D97" s="44"/>
      <c r="E97" s="44"/>
      <c r="F97" s="45"/>
      <c r="G97" s="23"/>
      <c r="H97" s="55"/>
      <c r="I97" s="79"/>
      <c r="J97" s="46"/>
      <c r="K97" s="41"/>
    </row>
    <row r="98" spans="1:24" x14ac:dyDescent="0.6">
      <c r="A98" s="82" t="s">
        <v>284</v>
      </c>
      <c r="B98" s="57"/>
      <c r="C98" s="46"/>
      <c r="D98" s="44"/>
      <c r="E98" s="44"/>
      <c r="F98" s="45"/>
      <c r="G98" s="23"/>
      <c r="H98" s="55"/>
      <c r="I98" s="79"/>
      <c r="J98" s="46"/>
      <c r="K98" s="41"/>
      <c r="L98" s="47"/>
    </row>
    <row r="99" spans="1:24" x14ac:dyDescent="0.6">
      <c r="A99" s="338" t="s">
        <v>280</v>
      </c>
      <c r="B99" s="56" t="s">
        <v>106</v>
      </c>
      <c r="C99" s="46" t="s">
        <v>106</v>
      </c>
      <c r="D99" s="40">
        <f>D11</f>
        <v>909019.77936737833</v>
      </c>
      <c r="E99" s="40"/>
      <c r="F99" s="56" t="s">
        <v>106</v>
      </c>
      <c r="G99" s="159"/>
      <c r="H99" s="56" t="s">
        <v>106</v>
      </c>
      <c r="I99" s="72"/>
      <c r="J99" s="46">
        <f>J11+SUM($J$90:$J$91)*D99/SUM($D$103,$D$109)</f>
        <v>66302.231338985017</v>
      </c>
      <c r="K99" s="83">
        <f>J99/D99</f>
        <v>7.2938161351260453E-2</v>
      </c>
    </row>
    <row r="100" spans="1:24" x14ac:dyDescent="0.6">
      <c r="A100" s="338" t="s">
        <v>287</v>
      </c>
      <c r="B100" s="56" t="s">
        <v>106</v>
      </c>
      <c r="C100" s="46" t="s">
        <v>106</v>
      </c>
      <c r="D100" s="40">
        <f>D18</f>
        <v>86793.901396098183</v>
      </c>
      <c r="E100" s="40"/>
      <c r="F100" s="56" t="s">
        <v>106</v>
      </c>
      <c r="G100" s="159"/>
      <c r="H100" s="56" t="s">
        <v>106</v>
      </c>
      <c r="I100" s="72"/>
      <c r="J100" s="46">
        <f>J18+SUM($J$90:$J$91)*D100/SUM($D$103,$D$109)</f>
        <v>6216.6348208070531</v>
      </c>
      <c r="K100" s="83">
        <f>J100/D100</f>
        <v>7.1625249249211903E-2</v>
      </c>
    </row>
    <row r="101" spans="1:24" x14ac:dyDescent="0.6">
      <c r="A101" s="338" t="s">
        <v>282</v>
      </c>
      <c r="B101" s="56" t="s">
        <v>106</v>
      </c>
      <c r="C101" s="46" t="s">
        <v>106</v>
      </c>
      <c r="D101" s="40">
        <f>D25</f>
        <v>256479.10445717597</v>
      </c>
      <c r="E101" s="40"/>
      <c r="F101" s="56" t="s">
        <v>106</v>
      </c>
      <c r="G101" s="159"/>
      <c r="H101" s="56" t="s">
        <v>106</v>
      </c>
      <c r="I101" s="72"/>
      <c r="J101" s="46">
        <f>J25+SUM($J$90:$J$91)*D101/SUM($D$103,$D$109)</f>
        <v>18787.683851761045</v>
      </c>
      <c r="K101" s="83">
        <f>J101/D101</f>
        <v>7.3252298238970198E-2</v>
      </c>
    </row>
    <row r="102" spans="1:24" x14ac:dyDescent="0.6">
      <c r="A102" s="338" t="s">
        <v>276</v>
      </c>
      <c r="B102" s="56" t="s">
        <v>106</v>
      </c>
      <c r="C102" s="46" t="s">
        <v>106</v>
      </c>
      <c r="D102" s="40">
        <f>D32</f>
        <v>0</v>
      </c>
      <c r="E102" s="40"/>
      <c r="F102" s="56" t="s">
        <v>106</v>
      </c>
      <c r="G102" s="159"/>
      <c r="H102" s="56" t="s">
        <v>106</v>
      </c>
      <c r="I102" s="72"/>
      <c r="J102" s="46">
        <f>J32+SUM($J$90:$J$91)*D102/SUM($D$103,$D$109)</f>
        <v>0</v>
      </c>
      <c r="K102" s="488">
        <f>IF(D102&lt;&gt;0,J102/D102,0)</f>
        <v>0</v>
      </c>
    </row>
    <row r="103" spans="1:24" x14ac:dyDescent="0.6">
      <c r="A103" s="338" t="s">
        <v>281</v>
      </c>
      <c r="B103" s="56"/>
      <c r="C103" s="46"/>
      <c r="D103" s="40">
        <f>SUM(D99:D102)</f>
        <v>1252292.7852206526</v>
      </c>
      <c r="E103" s="40"/>
      <c r="F103" s="56"/>
      <c r="G103" s="159"/>
      <c r="H103" s="56"/>
      <c r="I103" s="72"/>
      <c r="J103" s="46">
        <f>SUM(J99:J102)</f>
        <v>91306.550011553118</v>
      </c>
      <c r="K103" s="83">
        <f>J103/D103</f>
        <v>7.2911503674809572E-2</v>
      </c>
    </row>
    <row r="104" spans="1:24" ht="5.15" customHeight="1" x14ac:dyDescent="0.6">
      <c r="A104" s="21"/>
      <c r="B104" s="56"/>
      <c r="C104" s="46"/>
      <c r="D104" s="40"/>
      <c r="E104" s="40"/>
      <c r="F104" s="56"/>
      <c r="G104" s="159"/>
      <c r="H104" s="56"/>
      <c r="I104" s="72"/>
      <c r="J104" s="46"/>
      <c r="K104" s="83"/>
    </row>
    <row r="105" spans="1:24" x14ac:dyDescent="0.6">
      <c r="A105" s="82" t="s">
        <v>392</v>
      </c>
    </row>
    <row r="106" spans="1:24" x14ac:dyDescent="0.6">
      <c r="A106" s="338" t="s">
        <v>386</v>
      </c>
      <c r="B106" s="56" t="s">
        <v>106</v>
      </c>
      <c r="C106" s="46" t="s">
        <v>106</v>
      </c>
      <c r="D106" s="40">
        <f>D52</f>
        <v>37245.050750000046</v>
      </c>
      <c r="E106" s="40"/>
      <c r="F106" s="56" t="s">
        <v>106</v>
      </c>
      <c r="G106" s="159"/>
      <c r="H106" s="56" t="s">
        <v>106</v>
      </c>
      <c r="I106" s="72"/>
      <c r="J106" s="46">
        <f>J52+SUM($J$90:$J$91)*D106/SUM($D$103,$D$109)</f>
        <v>2689.7233016962</v>
      </c>
      <c r="K106" s="83">
        <f>J106/D106</f>
        <v>7.221693211671075E-2</v>
      </c>
    </row>
    <row r="107" spans="1:24" x14ac:dyDescent="0.6">
      <c r="A107" s="338" t="s">
        <v>393</v>
      </c>
      <c r="B107" s="56" t="s">
        <v>106</v>
      </c>
      <c r="C107" s="46" t="s">
        <v>106</v>
      </c>
      <c r="D107" s="40">
        <f>D60</f>
        <v>11734.155424792536</v>
      </c>
      <c r="E107" s="40"/>
      <c r="F107" s="56" t="s">
        <v>106</v>
      </c>
      <c r="G107" s="159"/>
      <c r="H107" s="56" t="s">
        <v>106</v>
      </c>
      <c r="I107" s="72"/>
      <c r="J107" s="46">
        <f>J60+SUM($J$90:$J$91)*D107/SUM($D$103,$D$109)</f>
        <v>857.63359531261199</v>
      </c>
      <c r="K107" s="83">
        <f>J107/D107</f>
        <v>7.3088651399704399E-2</v>
      </c>
    </row>
    <row r="108" spans="1:24" x14ac:dyDescent="0.6">
      <c r="A108" s="338" t="s">
        <v>388</v>
      </c>
      <c r="B108" s="56" t="s">
        <v>106</v>
      </c>
      <c r="C108" s="46" t="s">
        <v>106</v>
      </c>
      <c r="D108" s="40">
        <f>D67</f>
        <v>7750.0127912032904</v>
      </c>
      <c r="E108" s="40"/>
      <c r="F108" s="56" t="s">
        <v>106</v>
      </c>
      <c r="G108" s="159"/>
      <c r="H108" s="56" t="s">
        <v>106</v>
      </c>
      <c r="I108" s="72"/>
      <c r="J108" s="46">
        <f>J67+SUM($J$90:$J$91)*D108/SUM($D$103,$D$109)</f>
        <v>507.62981836139096</v>
      </c>
      <c r="K108" s="83">
        <f>J108/D108</f>
        <v>6.5500513616903955E-2</v>
      </c>
    </row>
    <row r="109" spans="1:24" x14ac:dyDescent="0.6">
      <c r="A109" s="338" t="s">
        <v>394</v>
      </c>
      <c r="B109" s="56"/>
      <c r="C109" s="46"/>
      <c r="D109" s="40">
        <f>SUM(D106:D108)</f>
        <v>56729.218965995875</v>
      </c>
      <c r="E109" s="40"/>
      <c r="F109" s="56"/>
      <c r="G109" s="159"/>
      <c r="H109" s="56"/>
      <c r="I109" s="72"/>
      <c r="J109" s="46">
        <f>SUM(J106:J108)</f>
        <v>4054.9867153702025</v>
      </c>
      <c r="K109" s="83">
        <f>J109/D109</f>
        <v>7.1479685235941753E-2</v>
      </c>
    </row>
    <row r="110" spans="1:24" ht="5.15" customHeight="1" x14ac:dyDescent="0.6">
      <c r="A110" s="21"/>
      <c r="B110" s="56"/>
      <c r="C110" s="46"/>
      <c r="D110" s="40"/>
      <c r="E110" s="40"/>
      <c r="F110" s="56"/>
      <c r="G110" s="159"/>
      <c r="H110" s="56"/>
      <c r="I110" s="72"/>
      <c r="J110" s="46"/>
      <c r="K110" s="83"/>
    </row>
    <row r="111" spans="1:24" x14ac:dyDescent="0.6">
      <c r="A111" s="82" t="s">
        <v>286</v>
      </c>
      <c r="B111" s="56" t="s">
        <v>106</v>
      </c>
      <c r="C111" s="46" t="s">
        <v>106</v>
      </c>
      <c r="D111" s="40">
        <f>D82</f>
        <v>1581701.6630455335</v>
      </c>
      <c r="E111" s="285" t="s">
        <v>241</v>
      </c>
      <c r="F111" s="56"/>
      <c r="G111" s="159"/>
      <c r="H111" s="56"/>
      <c r="I111" s="72"/>
      <c r="J111" s="46">
        <f>SUM(J93:J94)+J82</f>
        <v>44658.785768469905</v>
      </c>
      <c r="K111" s="83">
        <f>J111/D111</f>
        <v>2.8234645516196998E-2</v>
      </c>
      <c r="M111" s="140"/>
      <c r="N111" s="140"/>
      <c r="O111" s="140"/>
      <c r="P111" s="140"/>
      <c r="Q111" s="140"/>
      <c r="R111" s="140"/>
      <c r="S111" s="140"/>
      <c r="T111" s="140"/>
      <c r="U111" s="140"/>
      <c r="V111" s="140"/>
      <c r="W111" s="140"/>
      <c r="X111" s="140"/>
    </row>
    <row r="112" spans="1:24" hidden="1" x14ac:dyDescent="0.6">
      <c r="A112" s="341"/>
      <c r="B112" s="56"/>
      <c r="C112" s="46"/>
      <c r="D112" s="40"/>
      <c r="E112" s="40"/>
      <c r="F112" s="56"/>
      <c r="G112" s="159"/>
      <c r="H112" s="56"/>
      <c r="I112" s="72"/>
      <c r="J112" s="46"/>
      <c r="K112" s="83"/>
    </row>
    <row r="113" spans="1:11" hidden="1" x14ac:dyDescent="0.6">
      <c r="B113" s="69"/>
      <c r="C113" s="70"/>
      <c r="D113" s="37"/>
      <c r="E113" s="37"/>
      <c r="F113" s="38"/>
      <c r="G113" s="2"/>
      <c r="H113" s="4"/>
      <c r="I113" s="2"/>
      <c r="J113" s="2"/>
      <c r="K113" s="71"/>
    </row>
    <row r="114" spans="1:11" hidden="1" x14ac:dyDescent="0.6">
      <c r="A114" s="127" t="s">
        <v>191</v>
      </c>
      <c r="B114" s="339">
        <v>0</v>
      </c>
      <c r="C114" s="339">
        <v>0</v>
      </c>
      <c r="D114" s="339">
        <v>0</v>
      </c>
      <c r="E114" s="128"/>
      <c r="H114" s="126"/>
      <c r="I114" s="127"/>
      <c r="J114" s="339">
        <f>SUM(J103,J109)-J39-J74-SUM(J90:J91)</f>
        <v>-9.0949470177292824E-12</v>
      </c>
    </row>
    <row r="115" spans="1:11" hidden="1" x14ac:dyDescent="0.6">
      <c r="A115" s="127"/>
      <c r="B115" s="339">
        <v>0</v>
      </c>
      <c r="C115" s="339">
        <v>0</v>
      </c>
      <c r="D115" s="339">
        <v>0</v>
      </c>
      <c r="E115" s="128"/>
      <c r="H115" s="126"/>
      <c r="I115" s="127"/>
      <c r="J115" s="339">
        <f>J111-J82-J93-J94</f>
        <v>2.1600499167107046E-12</v>
      </c>
    </row>
    <row r="116" spans="1:11" hidden="1" x14ac:dyDescent="0.6">
      <c r="B116" s="339">
        <v>0</v>
      </c>
      <c r="C116" s="339">
        <v>0</v>
      </c>
      <c r="D116" s="339">
        <v>0</v>
      </c>
      <c r="H116" s="127"/>
      <c r="I116" s="127"/>
      <c r="J116" s="339">
        <v>0</v>
      </c>
    </row>
    <row r="117" spans="1:11" hidden="1" x14ac:dyDescent="0.6">
      <c r="B117" s="339">
        <v>0</v>
      </c>
      <c r="C117" s="339">
        <v>0</v>
      </c>
      <c r="D117" s="339">
        <v>0</v>
      </c>
      <c r="H117" s="342"/>
      <c r="I117" s="342"/>
      <c r="J117" s="339">
        <v>0</v>
      </c>
    </row>
    <row r="118" spans="1:11" hidden="1" x14ac:dyDescent="0.6">
      <c r="B118" s="339"/>
      <c r="C118" s="339"/>
      <c r="D118" s="339">
        <v>0</v>
      </c>
      <c r="H118" s="342"/>
      <c r="I118" s="342"/>
      <c r="J118" s="339">
        <v>0</v>
      </c>
    </row>
    <row r="119" spans="1:11" x14ac:dyDescent="0.6">
      <c r="A119" s="141"/>
      <c r="B119" s="290"/>
      <c r="C119" s="291"/>
      <c r="D119" s="282"/>
      <c r="E119" s="37"/>
    </row>
    <row r="120" spans="1:11" x14ac:dyDescent="0.6">
      <c r="A120" s="11" t="s">
        <v>235</v>
      </c>
    </row>
    <row r="121" spans="1:11" x14ac:dyDescent="0.6">
      <c r="A121" s="25" t="s">
        <v>796</v>
      </c>
    </row>
    <row r="122" spans="1:11" x14ac:dyDescent="0.6">
      <c r="A122" s="25" t="s">
        <v>795</v>
      </c>
    </row>
    <row r="123" spans="1:11" x14ac:dyDescent="0.6">
      <c r="A123" s="25" t="s">
        <v>797</v>
      </c>
    </row>
    <row r="124" spans="1:11" x14ac:dyDescent="0.6">
      <c r="A124" s="145" t="s">
        <v>91</v>
      </c>
    </row>
    <row r="125" spans="1:11" x14ac:dyDescent="0.6">
      <c r="A125" s="145" t="s">
        <v>61</v>
      </c>
    </row>
    <row r="126" spans="1:11" x14ac:dyDescent="0.6">
      <c r="A126" s="462" t="s">
        <v>60</v>
      </c>
    </row>
  </sheetData>
  <phoneticPr fontId="0" type="noConversion"/>
  <printOptions horizontalCentered="1"/>
  <pageMargins left="0.75" right="0.75" top="1" bottom="1" header="0.5" footer="0.5"/>
  <pageSetup scale="92" fitToHeight="3" orientation="landscape" r:id="rId1"/>
  <headerFooter alignWithMargins="0">
    <oddFooter>&amp;L&amp;F</oddFooter>
  </headerFooter>
  <rowBreaks count="2" manualBreakCount="2">
    <brk id="41" max="10" man="1"/>
    <brk id="84" max="10"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N37"/>
  <sheetViews>
    <sheetView zoomScale="70" workbookViewId="0"/>
  </sheetViews>
  <sheetFormatPr defaultRowHeight="13" x14ac:dyDescent="0.6"/>
  <cols>
    <col min="1" max="1" width="27.6796875" bestFit="1" customWidth="1"/>
    <col min="2" max="2" width="11.6796875" customWidth="1"/>
    <col min="3" max="3" width="2.6796875" customWidth="1"/>
    <col min="4" max="4" width="10.453125" customWidth="1"/>
    <col min="5" max="5" width="2.6796875" customWidth="1"/>
    <col min="6" max="6" width="11.6796875" customWidth="1"/>
    <col min="7" max="7" width="2.6796875" customWidth="1"/>
    <col min="8" max="8" width="11.6796875" customWidth="1"/>
    <col min="9" max="9" width="2.6796875" customWidth="1"/>
    <col min="10" max="11" width="11.6796875" customWidth="1"/>
  </cols>
  <sheetData>
    <row r="1" spans="1:11" ht="15.5" x14ac:dyDescent="0.7">
      <c r="A1" s="157" t="s">
        <v>20</v>
      </c>
    </row>
    <row r="2" spans="1:11" ht="15.5" x14ac:dyDescent="0.7">
      <c r="A2" s="158" t="s">
        <v>787</v>
      </c>
    </row>
    <row r="3" spans="1:11" ht="26" x14ac:dyDescent="0.6">
      <c r="B3" s="168" t="s">
        <v>258</v>
      </c>
      <c r="C3" s="168"/>
      <c r="D3" s="183" t="s">
        <v>207</v>
      </c>
      <c r="E3" s="183"/>
      <c r="F3" s="146" t="s">
        <v>217</v>
      </c>
      <c r="G3" s="161"/>
      <c r="H3" s="160" t="s">
        <v>246</v>
      </c>
      <c r="I3" s="159"/>
      <c r="J3" s="42" t="s">
        <v>218</v>
      </c>
      <c r="K3" s="41" t="s">
        <v>133</v>
      </c>
    </row>
    <row r="5" spans="1:11" x14ac:dyDescent="0.6">
      <c r="A5" s="25" t="s">
        <v>274</v>
      </c>
    </row>
    <row r="6" spans="1:11" x14ac:dyDescent="0.6">
      <c r="A6" s="28" t="s">
        <v>219</v>
      </c>
      <c r="B6" s="6">
        <v>5892.1945821580466</v>
      </c>
      <c r="C6" s="6"/>
      <c r="D6" s="22">
        <v>5.5653384657423366E-2</v>
      </c>
      <c r="E6" s="306" t="s">
        <v>236</v>
      </c>
      <c r="F6" s="165">
        <f>B6*D6</f>
        <v>327.92057155722773</v>
      </c>
      <c r="H6" s="166">
        <v>1.3727750819950504</v>
      </c>
      <c r="J6" s="165">
        <f>H6*F6</f>
        <v>450.1611895073371</v>
      </c>
      <c r="K6" s="22">
        <f>J6/B6</f>
        <v>7.6399579686396449E-2</v>
      </c>
    </row>
    <row r="7" spans="1:11" x14ac:dyDescent="0.6">
      <c r="A7" s="89" t="s">
        <v>381</v>
      </c>
      <c r="B7" s="6">
        <f>B6</f>
        <v>5892.1945821580466</v>
      </c>
      <c r="C7" s="6"/>
      <c r="D7" s="22">
        <v>0.20688479333068585</v>
      </c>
      <c r="E7" s="306" t="s">
        <v>239</v>
      </c>
      <c r="F7" s="165">
        <f>B7*D7</f>
        <v>1219.0054583939543</v>
      </c>
      <c r="H7" s="336">
        <v>1.7516721267338493</v>
      </c>
      <c r="J7" s="165">
        <f>H7*F7</f>
        <v>2135.297883805109</v>
      </c>
      <c r="K7" s="22">
        <f>J7/B7</f>
        <v>0.36239432592245541</v>
      </c>
    </row>
    <row r="8" spans="1:11" x14ac:dyDescent="0.6">
      <c r="A8" s="89" t="s">
        <v>382</v>
      </c>
      <c r="B8" s="6">
        <f>B7</f>
        <v>5892.1945821580466</v>
      </c>
      <c r="C8" s="6"/>
      <c r="D8" s="22">
        <v>1.9280354620068052E-2</v>
      </c>
      <c r="E8" s="306" t="s">
        <v>240</v>
      </c>
      <c r="F8" s="165">
        <f>B8*D8</f>
        <v>113.60360103445083</v>
      </c>
      <c r="H8" s="29">
        <v>1.7516721267338493</v>
      </c>
      <c r="J8" s="165">
        <f>H8*F8</f>
        <v>198.99626142864022</v>
      </c>
      <c r="K8" s="22">
        <f>J8/B8</f>
        <v>3.3772859781517402E-2</v>
      </c>
    </row>
    <row r="9" spans="1:11" x14ac:dyDescent="0.6">
      <c r="A9" s="21" t="s">
        <v>102</v>
      </c>
      <c r="B9" s="6">
        <f>B8</f>
        <v>5892.1945821580466</v>
      </c>
      <c r="C9" s="6"/>
      <c r="F9" s="165">
        <f>SUM(F6:F8)</f>
        <v>1660.5296309856328</v>
      </c>
      <c r="J9" s="165">
        <f>SUM(J6:J8)</f>
        <v>2784.4553347410861</v>
      </c>
      <c r="K9" s="22">
        <f>J9/B9</f>
        <v>0.47256676539036918</v>
      </c>
    </row>
    <row r="11" spans="1:11" x14ac:dyDescent="0.6">
      <c r="A11" s="25" t="s">
        <v>278</v>
      </c>
    </row>
    <row r="12" spans="1:11" x14ac:dyDescent="0.6">
      <c r="A12" s="28" t="s">
        <v>219</v>
      </c>
      <c r="B12" s="6">
        <v>10128.164367178895</v>
      </c>
      <c r="C12" s="6"/>
      <c r="D12" s="22">
        <v>5.5653384657423366E-2</v>
      </c>
      <c r="E12" s="306" t="s">
        <v>236</v>
      </c>
      <c r="F12" s="165">
        <f>B12*D12</f>
        <v>563.66662740021593</v>
      </c>
      <c r="H12" s="166">
        <v>1.3727750819950504</v>
      </c>
      <c r="J12" s="165">
        <f>H12*F12</f>
        <v>773.78750064720498</v>
      </c>
      <c r="K12" s="22">
        <f>J12/B12</f>
        <v>7.6399579686396435E-2</v>
      </c>
    </row>
    <row r="13" spans="1:11" x14ac:dyDescent="0.6">
      <c r="A13" s="89" t="s">
        <v>381</v>
      </c>
      <c r="B13" s="6">
        <f>B12</f>
        <v>10128.164367178895</v>
      </c>
      <c r="C13" s="6"/>
      <c r="D13" s="22">
        <v>0.20688479333068585</v>
      </c>
      <c r="E13" s="306" t="s">
        <v>239</v>
      </c>
      <c r="F13" s="165">
        <f>B13*D13</f>
        <v>2095.3631919230224</v>
      </c>
      <c r="H13" s="336">
        <v>1.7516721267338493</v>
      </c>
      <c r="J13" s="165">
        <f>H13*F13</f>
        <v>3670.3892986756277</v>
      </c>
      <c r="K13" s="22">
        <f>J13/B13</f>
        <v>0.36239432592245541</v>
      </c>
    </row>
    <row r="14" spans="1:11" x14ac:dyDescent="0.6">
      <c r="A14" s="89" t="s">
        <v>382</v>
      </c>
      <c r="B14" s="6">
        <f>B13</f>
        <v>10128.164367178895</v>
      </c>
      <c r="C14" s="6"/>
      <c r="D14" s="22">
        <v>1.9280354620068052E-2</v>
      </c>
      <c r="E14" s="306" t="s">
        <v>240</v>
      </c>
      <c r="F14" s="165">
        <f>B14*D14</f>
        <v>195.27460064954624</v>
      </c>
      <c r="H14" s="29">
        <v>1.7516721267338493</v>
      </c>
      <c r="J14" s="165">
        <f>H14*F14</f>
        <v>342.0570750168938</v>
      </c>
      <c r="K14" s="22">
        <f>J14/B14</f>
        <v>3.3772859781517409E-2</v>
      </c>
    </row>
    <row r="15" spans="1:11" x14ac:dyDescent="0.6">
      <c r="A15" s="21" t="s">
        <v>102</v>
      </c>
      <c r="B15" s="6">
        <f>B14</f>
        <v>10128.164367178895</v>
      </c>
      <c r="C15" s="6"/>
      <c r="F15" s="165">
        <f>SUM(F12:F14)</f>
        <v>2854.3044199727847</v>
      </c>
      <c r="J15" s="165">
        <f>SUM(J12:J14)</f>
        <v>4786.2338743397268</v>
      </c>
      <c r="K15" s="22">
        <f>J15/B15</f>
        <v>0.47256676539036929</v>
      </c>
    </row>
    <row r="17" spans="1:14" x14ac:dyDescent="0.6">
      <c r="A17" s="47" t="s">
        <v>279</v>
      </c>
      <c r="N17" s="12"/>
    </row>
    <row r="18" spans="1:14" x14ac:dyDescent="0.6">
      <c r="A18" s="28" t="s">
        <v>219</v>
      </c>
      <c r="B18" s="6">
        <v>4679.3696114712075</v>
      </c>
      <c r="C18" s="6"/>
      <c r="D18" s="22">
        <v>5.0955635588049213E-2</v>
      </c>
      <c r="E18" s="306" t="s">
        <v>236</v>
      </c>
      <c r="F18" s="165">
        <f>B18*D18</f>
        <v>238.44025270391828</v>
      </c>
      <c r="H18" s="166">
        <v>1.3727750819950504</v>
      </c>
      <c r="J18" s="165">
        <f>H18*F18</f>
        <v>327.32483745654196</v>
      </c>
      <c r="K18" s="22">
        <f>J18/B18</f>
        <v>6.9950626822494172E-2</v>
      </c>
    </row>
    <row r="19" spans="1:14" x14ac:dyDescent="0.6">
      <c r="A19" s="89" t="s">
        <v>381</v>
      </c>
      <c r="B19" s="6">
        <f>B18</f>
        <v>4679.3696114712075</v>
      </c>
      <c r="C19" s="6"/>
      <c r="D19" s="22">
        <v>8.4926161070990908E-2</v>
      </c>
      <c r="E19" s="306" t="s">
        <v>239</v>
      </c>
      <c r="F19" s="165">
        <f>B19*D19</f>
        <v>397.4008973345039</v>
      </c>
      <c r="H19" s="336">
        <v>1.7516721267338493</v>
      </c>
      <c r="J19" s="165">
        <f>H19*F19</f>
        <v>696.11607499987053</v>
      </c>
      <c r="K19" s="22">
        <f>J19/B19</f>
        <v>0.14876278917856409</v>
      </c>
      <c r="N19" s="13"/>
    </row>
    <row r="20" spans="1:14" x14ac:dyDescent="0.6">
      <c r="A20" s="89" t="s">
        <v>382</v>
      </c>
      <c r="B20" s="6">
        <f>B19</f>
        <v>4679.3696114712075</v>
      </c>
      <c r="C20" s="6"/>
      <c r="D20" s="22">
        <v>1.9280354620068052E-2</v>
      </c>
      <c r="E20" s="306" t="s">
        <v>240</v>
      </c>
      <c r="F20" s="165">
        <f>B20*D20</f>
        <v>90.219905507534946</v>
      </c>
      <c r="H20" s="29">
        <v>1.7516721267338493</v>
      </c>
      <c r="J20" s="165">
        <f>H20*F20</f>
        <v>158.03569375411067</v>
      </c>
      <c r="K20" s="22">
        <f>J20/B20</f>
        <v>3.3772859781517402E-2</v>
      </c>
    </row>
    <row r="21" spans="1:14" x14ac:dyDescent="0.6">
      <c r="A21" s="21" t="s">
        <v>102</v>
      </c>
      <c r="B21" s="6">
        <f>B20</f>
        <v>4679.3696114712075</v>
      </c>
      <c r="C21" s="6"/>
      <c r="F21" s="165">
        <f>SUM(F18:F20)</f>
        <v>726.06105554595706</v>
      </c>
      <c r="J21" s="165">
        <f>SUM(J18:J20)</f>
        <v>1181.4766062105232</v>
      </c>
      <c r="K21" s="22">
        <f>J21/B21</f>
        <v>0.25248627578257565</v>
      </c>
    </row>
    <row r="23" spans="1:14" x14ac:dyDescent="0.6">
      <c r="A23" s="47" t="s">
        <v>220</v>
      </c>
    </row>
    <row r="24" spans="1:14" x14ac:dyDescent="0.6">
      <c r="A24" s="28" t="s">
        <v>219</v>
      </c>
      <c r="B24" s="6">
        <f>B6+B12+B18</f>
        <v>20699.728560808151</v>
      </c>
      <c r="C24" s="6"/>
      <c r="D24" s="22">
        <f>F24/B24</f>
        <v>5.4591414005345965E-2</v>
      </c>
      <c r="E24" s="22"/>
      <c r="F24" s="165">
        <f>F6+F12+F18</f>
        <v>1130.027451661362</v>
      </c>
      <c r="J24" s="165">
        <f>J6+J12+J18</f>
        <v>1551.2735276110839</v>
      </c>
      <c r="K24" s="22">
        <f>J24/B24</f>
        <v>7.4941732837414538E-2</v>
      </c>
    </row>
    <row r="25" spans="1:14" x14ac:dyDescent="0.6">
      <c r="A25" s="89" t="s">
        <v>381</v>
      </c>
      <c r="B25" s="6">
        <f>B7+B13+B19</f>
        <v>20699.728560808151</v>
      </c>
      <c r="C25" s="6"/>
      <c r="D25" s="22">
        <f>F25/B25</f>
        <v>0.17931488989083474</v>
      </c>
      <c r="E25" s="22"/>
      <c r="F25" s="165">
        <f>F7+F13+F19</f>
        <v>3711.7695476514805</v>
      </c>
      <c r="J25" s="165">
        <f>J7+J13+J19</f>
        <v>6501.8032574806075</v>
      </c>
      <c r="K25" s="22">
        <f>J25/B25</f>
        <v>0.31410089453012452</v>
      </c>
    </row>
    <row r="26" spans="1:14" x14ac:dyDescent="0.6">
      <c r="A26" s="89" t="s">
        <v>382</v>
      </c>
      <c r="B26" s="6">
        <f>B8+B14+B20</f>
        <v>20699.728560808151</v>
      </c>
      <c r="C26" s="6"/>
      <c r="D26" s="22">
        <f>F26/B26</f>
        <v>1.9280354620068049E-2</v>
      </c>
      <c r="E26" s="22"/>
      <c r="F26" s="165">
        <f>F8+F14+F20</f>
        <v>399.09810719153199</v>
      </c>
      <c r="J26" s="165">
        <f>J8+J14+J20</f>
        <v>699.08903019964464</v>
      </c>
      <c r="K26" s="22">
        <f>J26/B26</f>
        <v>3.3772859781517402E-2</v>
      </c>
    </row>
    <row r="27" spans="1:14" x14ac:dyDescent="0.6">
      <c r="A27" s="21" t="s">
        <v>102</v>
      </c>
      <c r="B27" s="6">
        <f>B9+B15+B21</f>
        <v>20699.728560808151</v>
      </c>
      <c r="C27" s="6"/>
      <c r="D27" s="22">
        <f>F27/B27</f>
        <v>0.25318665851624877</v>
      </c>
      <c r="E27" s="22"/>
      <c r="F27" s="165">
        <f>F9+F15+F21</f>
        <v>5240.8951065043748</v>
      </c>
      <c r="J27" s="165">
        <f>J9+J15+J21</f>
        <v>8752.1658152913351</v>
      </c>
      <c r="K27" s="22">
        <f>J27/B27</f>
        <v>0.42281548714905642</v>
      </c>
    </row>
    <row r="28" spans="1:14" hidden="1" x14ac:dyDescent="0.6">
      <c r="A28" s="21"/>
      <c r="B28" s="6"/>
      <c r="C28" s="6"/>
      <c r="D28" s="22"/>
      <c r="E28" s="22"/>
      <c r="F28" s="165"/>
      <c r="J28" s="165"/>
      <c r="K28" s="22"/>
    </row>
    <row r="29" spans="1:14" hidden="1" x14ac:dyDescent="0.6">
      <c r="A29" s="21" t="s">
        <v>191</v>
      </c>
      <c r="B29" s="133">
        <v>0</v>
      </c>
      <c r="C29" s="6"/>
      <c r="D29" s="22"/>
      <c r="E29" s="22"/>
      <c r="F29" s="165"/>
      <c r="J29" s="133">
        <v>0</v>
      </c>
      <c r="K29" s="22"/>
    </row>
    <row r="30" spans="1:14" hidden="1" x14ac:dyDescent="0.6">
      <c r="A30" s="21"/>
      <c r="B30" s="133">
        <v>0</v>
      </c>
      <c r="C30" s="6"/>
      <c r="D30" s="22"/>
      <c r="E30" s="22"/>
      <c r="F30" s="165"/>
      <c r="J30" s="133">
        <v>0</v>
      </c>
      <c r="K30" s="22"/>
    </row>
    <row r="31" spans="1:14" hidden="1" x14ac:dyDescent="0.6">
      <c r="A31" s="21"/>
      <c r="B31" s="133">
        <v>0</v>
      </c>
      <c r="C31" s="6"/>
      <c r="D31" s="22"/>
      <c r="E31" s="22"/>
      <c r="F31" s="165"/>
      <c r="J31" s="133">
        <v>0</v>
      </c>
      <c r="K31" s="22"/>
    </row>
    <row r="32" spans="1:14" x14ac:dyDescent="0.6">
      <c r="A32" s="283"/>
      <c r="B32" s="283"/>
      <c r="C32" s="283"/>
      <c r="D32" s="283"/>
      <c r="E32" s="283"/>
      <c r="F32" s="283"/>
    </row>
    <row r="33" spans="1:11" x14ac:dyDescent="0.6">
      <c r="A33" s="47" t="s">
        <v>235</v>
      </c>
      <c r="K33" s="22"/>
    </row>
    <row r="34" spans="1:11" x14ac:dyDescent="0.6">
      <c r="A34" s="25" t="s">
        <v>796</v>
      </c>
    </row>
    <row r="35" spans="1:11" x14ac:dyDescent="0.6">
      <c r="A35" s="25" t="s">
        <v>795</v>
      </c>
    </row>
    <row r="36" spans="1:11" x14ac:dyDescent="0.6">
      <c r="A36" s="12" t="s">
        <v>798</v>
      </c>
    </row>
    <row r="37" spans="1:11" x14ac:dyDescent="0.6">
      <c r="A37" s="12" t="s">
        <v>799</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6">
    <pageSetUpPr fitToPage="1"/>
  </sheetPr>
  <dimension ref="A1:S93"/>
  <sheetViews>
    <sheetView zoomScale="70" workbookViewId="0"/>
  </sheetViews>
  <sheetFormatPr defaultColWidth="9.08984375" defaultRowHeight="13" x14ac:dyDescent="0.6"/>
  <cols>
    <col min="1" max="1" width="25.86328125" style="11" customWidth="1"/>
    <col min="2" max="5" width="12.6796875" style="11" customWidth="1"/>
    <col min="6" max="6" width="2.6796875" style="11" customWidth="1"/>
    <col min="7" max="7" width="12.6796875" style="11" customWidth="1"/>
    <col min="8" max="8" width="2.6796875" style="11" customWidth="1"/>
    <col min="9" max="10" width="12.6796875" style="11" customWidth="1"/>
    <col min="11" max="16384" width="9.08984375" style="11"/>
  </cols>
  <sheetData>
    <row r="1" spans="1:19" ht="15.5" x14ac:dyDescent="0.7">
      <c r="A1" s="158" t="s">
        <v>558</v>
      </c>
    </row>
    <row r="2" spans="1:19" ht="15.5" x14ac:dyDescent="0.7">
      <c r="A2" s="158" t="s">
        <v>787</v>
      </c>
      <c r="B2" s="36"/>
      <c r="C2" s="36"/>
      <c r="D2" s="36"/>
      <c r="E2" s="36"/>
      <c r="F2" s="36"/>
      <c r="G2" s="36"/>
    </row>
    <row r="3" spans="1:19" s="4" customFormat="1" ht="26" x14ac:dyDescent="0.6">
      <c r="A3" s="11"/>
      <c r="B3" s="189" t="s">
        <v>248</v>
      </c>
      <c r="C3" s="189" t="s">
        <v>249</v>
      </c>
      <c r="D3" s="168" t="s">
        <v>250</v>
      </c>
      <c r="E3" s="169" t="s">
        <v>207</v>
      </c>
      <c r="F3" s="23"/>
      <c r="G3" s="160" t="s">
        <v>246</v>
      </c>
      <c r="H3" s="159"/>
      <c r="I3" s="160" t="s">
        <v>218</v>
      </c>
      <c r="J3" s="41" t="s">
        <v>133</v>
      </c>
    </row>
    <row r="4" spans="1:19" x14ac:dyDescent="0.6">
      <c r="B4" s="48"/>
      <c r="C4" s="48"/>
      <c r="D4" s="48"/>
      <c r="E4" s="48"/>
      <c r="F4" s="48"/>
      <c r="G4" s="23"/>
      <c r="H4" s="23"/>
      <c r="I4" s="196"/>
      <c r="J4" s="48"/>
    </row>
    <row r="5" spans="1:19" x14ac:dyDescent="0.6">
      <c r="A5" s="49" t="s">
        <v>439</v>
      </c>
    </row>
    <row r="6" spans="1:19" x14ac:dyDescent="0.6">
      <c r="A6" s="81" t="s">
        <v>483</v>
      </c>
      <c r="B6" s="44">
        <v>3.5060602193494397</v>
      </c>
      <c r="C6" s="46">
        <v>163.39059175521973</v>
      </c>
      <c r="D6" s="53">
        <v>37245.050750000046</v>
      </c>
      <c r="E6" s="83">
        <f t="shared" ref="E6:E12" si="0">IF(ISERROR(C6/D6),"n/a",C6/D6)</f>
        <v>4.3869074807266718E-3</v>
      </c>
      <c r="G6" s="54">
        <v>1.5107753644979616</v>
      </c>
      <c r="I6" s="42">
        <f t="shared" ref="I6:I11" si="1">C6*G6</f>
        <v>246.84648081452971</v>
      </c>
      <c r="J6" s="92">
        <f t="shared" ref="J6:J12" si="2">IF(ISERROR(I6/D6),"n/a",I6/D6)</f>
        <v>6.6276317482136717E-3</v>
      </c>
    </row>
    <row r="7" spans="1:19" x14ac:dyDescent="0.6">
      <c r="A7" s="81" t="s">
        <v>484</v>
      </c>
      <c r="B7" s="44">
        <v>1.1045938913783997</v>
      </c>
      <c r="C7" s="46">
        <v>51.476654213031829</v>
      </c>
      <c r="D7" s="53">
        <v>11734.155424792536</v>
      </c>
      <c r="E7" s="83">
        <f t="shared" si="0"/>
        <v>4.3869074807266718E-3</v>
      </c>
      <c r="G7" s="54">
        <v>1.5107753644979616</v>
      </c>
      <c r="I7" s="42">
        <f t="shared" si="1"/>
        <v>77.76966103182869</v>
      </c>
      <c r="J7" s="92">
        <f t="shared" si="2"/>
        <v>6.6276317482136717E-3</v>
      </c>
    </row>
    <row r="8" spans="1:19" x14ac:dyDescent="0.6">
      <c r="A8" s="81" t="s">
        <v>485</v>
      </c>
      <c r="B8" s="44">
        <v>0.72954690622047647</v>
      </c>
      <c r="C8" s="46">
        <v>33.998589089457099</v>
      </c>
      <c r="D8" s="53">
        <v>7750.0127912032904</v>
      </c>
      <c r="E8" s="83">
        <f t="shared" si="0"/>
        <v>4.3869074807266709E-3</v>
      </c>
      <c r="G8" s="54">
        <v>1.5107753644979616</v>
      </c>
      <c r="I8" s="42">
        <f t="shared" si="1"/>
        <v>51.364230824040966</v>
      </c>
      <c r="J8" s="92">
        <f t="shared" si="2"/>
        <v>6.62763174821367E-3</v>
      </c>
    </row>
    <row r="9" spans="1:19" x14ac:dyDescent="0.6">
      <c r="A9" s="81" t="s">
        <v>486</v>
      </c>
      <c r="B9" s="44">
        <v>102.2978713775527</v>
      </c>
      <c r="C9" s="46">
        <v>4767.319639130189</v>
      </c>
      <c r="D9" s="53">
        <v>909019.77936737798</v>
      </c>
      <c r="E9" s="83">
        <f t="shared" si="0"/>
        <v>5.2444619438841598E-3</v>
      </c>
      <c r="G9" s="54">
        <v>1.5107753644979616</v>
      </c>
      <c r="I9" s="42">
        <f t="shared" si="1"/>
        <v>7202.3490654852021</v>
      </c>
      <c r="J9" s="92">
        <f t="shared" si="2"/>
        <v>7.9232039048672803E-3</v>
      </c>
      <c r="N9" s="140"/>
      <c r="O9" s="140"/>
      <c r="P9" s="140"/>
      <c r="Q9" s="140"/>
      <c r="R9" s="140"/>
      <c r="S9" s="140"/>
    </row>
    <row r="10" spans="1:19" x14ac:dyDescent="0.6">
      <c r="A10" s="81" t="s">
        <v>440</v>
      </c>
      <c r="B10" s="44">
        <v>8.1703377721131787</v>
      </c>
      <c r="C10" s="46">
        <v>380.75681531599616</v>
      </c>
      <c r="D10" s="53">
        <v>86793.901396098183</v>
      </c>
      <c r="E10" s="83">
        <f t="shared" si="0"/>
        <v>4.3869074807266709E-3</v>
      </c>
      <c r="G10" s="54">
        <v>1.5107753644979616</v>
      </c>
      <c r="I10" s="42">
        <f t="shared" si="1"/>
        <v>575.23801644410719</v>
      </c>
      <c r="J10" s="92">
        <f t="shared" si="2"/>
        <v>6.6276317482136709E-3</v>
      </c>
    </row>
    <row r="11" spans="1:19" x14ac:dyDescent="0.6">
      <c r="A11" s="81" t="s">
        <v>441</v>
      </c>
      <c r="B11" s="44">
        <v>24.143642366541094</v>
      </c>
      <c r="C11" s="46">
        <v>1125.1501019932625</v>
      </c>
      <c r="D11" s="53">
        <v>256479.10445717597</v>
      </c>
      <c r="E11" s="83">
        <f t="shared" si="0"/>
        <v>4.3869074807266709E-3</v>
      </c>
      <c r="G11" s="54">
        <v>1.5107753644979616</v>
      </c>
      <c r="I11" s="42">
        <f t="shared" si="1"/>
        <v>1699.8490554537898</v>
      </c>
      <c r="J11" s="92">
        <f t="shared" si="2"/>
        <v>6.6276317482136709E-3</v>
      </c>
    </row>
    <row r="12" spans="1:19" x14ac:dyDescent="0.6">
      <c r="A12" s="81" t="s">
        <v>444</v>
      </c>
      <c r="B12" s="44">
        <f>SUM(B6:B11)</f>
        <v>139.95205253315527</v>
      </c>
      <c r="C12" s="46">
        <f>SUM(C6:C11)</f>
        <v>6522.0923914971572</v>
      </c>
      <c r="D12" s="53">
        <f>SUM(D6:D11)</f>
        <v>1309022.0041866479</v>
      </c>
      <c r="E12" s="83">
        <f t="shared" si="0"/>
        <v>4.9824161630878131E-3</v>
      </c>
      <c r="I12" s="52">
        <f>SUM(I6:I11)</f>
        <v>9853.4165100534992</v>
      </c>
      <c r="J12" s="92">
        <f t="shared" si="2"/>
        <v>7.5273115948695252E-3</v>
      </c>
    </row>
    <row r="13" spans="1:19" x14ac:dyDescent="0.6">
      <c r="B13" s="44"/>
      <c r="C13" s="46"/>
      <c r="D13" s="53"/>
    </row>
    <row r="14" spans="1:19" x14ac:dyDescent="0.6">
      <c r="A14" s="49" t="s">
        <v>442</v>
      </c>
      <c r="B14" s="44"/>
      <c r="C14" s="46"/>
      <c r="D14" s="53"/>
    </row>
    <row r="15" spans="1:19" x14ac:dyDescent="0.6">
      <c r="A15" s="81" t="s">
        <v>276</v>
      </c>
      <c r="B15" s="44">
        <v>54.626316312039222</v>
      </c>
      <c r="C15" s="46">
        <v>2545.7138751849616</v>
      </c>
      <c r="D15" s="53">
        <v>38264.528729651181</v>
      </c>
      <c r="E15" s="83">
        <f t="shared" ref="E15:E21" si="3">IF(ISERROR(C15/D15),"n/a",C15/D15)</f>
        <v>6.6529340872615736E-2</v>
      </c>
      <c r="G15" s="54">
        <v>1.5107753644979616</v>
      </c>
      <c r="I15" s="42">
        <f t="shared" ref="I15:I20" si="4">C15*G15</f>
        <v>3846.0018076900787</v>
      </c>
      <c r="J15" s="92">
        <f t="shared" ref="J15:J21" si="5">IF(ISERROR(I15/D15),"n/a",I15/D15)</f>
        <v>0.10051088920663519</v>
      </c>
    </row>
    <row r="16" spans="1:19" x14ac:dyDescent="0.6">
      <c r="A16" s="81" t="s">
        <v>280</v>
      </c>
      <c r="B16" s="44">
        <v>31.780502314722636</v>
      </c>
      <c r="C16" s="46">
        <v>1481.0456052132984</v>
      </c>
      <c r="D16" s="53">
        <v>17052.932175697686</v>
      </c>
      <c r="E16" s="83">
        <f t="shared" si="3"/>
        <v>8.6849908857548383E-2</v>
      </c>
      <c r="G16" s="54">
        <v>1.5107753644979616</v>
      </c>
      <c r="I16" s="42">
        <f t="shared" si="4"/>
        <v>2237.5272140542247</v>
      </c>
      <c r="J16" s="92">
        <f t="shared" si="5"/>
        <v>0.1312107027108774</v>
      </c>
    </row>
    <row r="17" spans="1:10" x14ac:dyDescent="0.6">
      <c r="A17" s="81" t="s">
        <v>440</v>
      </c>
      <c r="B17" s="44">
        <v>0</v>
      </c>
      <c r="C17" s="46">
        <v>0</v>
      </c>
      <c r="D17" s="53">
        <v>0</v>
      </c>
      <c r="E17" s="83" t="str">
        <f t="shared" si="3"/>
        <v>n/a</v>
      </c>
      <c r="G17" s="54">
        <v>1.5107753644979616</v>
      </c>
      <c r="I17" s="42">
        <f t="shared" si="4"/>
        <v>0</v>
      </c>
      <c r="J17" s="92" t="str">
        <f t="shared" si="5"/>
        <v>n/a</v>
      </c>
    </row>
    <row r="18" spans="1:10" x14ac:dyDescent="0.6">
      <c r="A18" s="81" t="s">
        <v>441</v>
      </c>
      <c r="B18" s="44">
        <v>0</v>
      </c>
      <c r="C18" s="46">
        <v>0</v>
      </c>
      <c r="D18" s="53">
        <v>0</v>
      </c>
      <c r="E18" s="83" t="str">
        <f t="shared" si="3"/>
        <v>n/a</v>
      </c>
      <c r="G18" s="54">
        <v>1.5107753644979616</v>
      </c>
      <c r="I18" s="42">
        <f t="shared" si="4"/>
        <v>0</v>
      </c>
      <c r="J18" s="92" t="str">
        <f t="shared" si="5"/>
        <v>n/a</v>
      </c>
    </row>
    <row r="19" spans="1:10" x14ac:dyDescent="0.6">
      <c r="A19" s="81" t="s">
        <v>443</v>
      </c>
      <c r="B19" s="44">
        <v>0.20815389017856437</v>
      </c>
      <c r="C19" s="46">
        <v>9.7004572553341291</v>
      </c>
      <c r="D19" s="53">
        <v>333.75823549859547</v>
      </c>
      <c r="E19" s="83">
        <f t="shared" si="3"/>
        <v>2.9064323284316233E-2</v>
      </c>
      <c r="G19" s="54">
        <v>1.5107753644979616</v>
      </c>
      <c r="I19" s="42">
        <f t="shared" si="4"/>
        <v>14.655211845724315</v>
      </c>
      <c r="J19" s="92">
        <f t="shared" si="5"/>
        <v>4.3909663603749448E-2</v>
      </c>
    </row>
    <row r="20" spans="1:10" x14ac:dyDescent="0.6">
      <c r="A20" s="81" t="s">
        <v>230</v>
      </c>
      <c r="B20" s="44">
        <v>447.02661746155968</v>
      </c>
      <c r="C20" s="46">
        <v>19278.291094000237</v>
      </c>
      <c r="D20" s="53">
        <v>1768118.2811304154</v>
      </c>
      <c r="E20" s="83">
        <f t="shared" si="3"/>
        <v>1.0903281358346117E-2</v>
      </c>
      <c r="G20" s="54">
        <v>1.5107753644979616</v>
      </c>
      <c r="I20" s="42">
        <f t="shared" si="4"/>
        <v>29125.167254436015</v>
      </c>
      <c r="J20" s="92">
        <f t="shared" si="5"/>
        <v>1.6472408868379185E-2</v>
      </c>
    </row>
    <row r="21" spans="1:10" x14ac:dyDescent="0.6">
      <c r="A21" s="81" t="s">
        <v>445</v>
      </c>
      <c r="B21" s="44">
        <f>SUM(B15:B20)</f>
        <v>533.64158997850006</v>
      </c>
      <c r="C21" s="46">
        <f>SUM(C15:C20)</f>
        <v>23314.751031653832</v>
      </c>
      <c r="D21" s="53">
        <f>SUM(D15:D20)</f>
        <v>1823769.5002712628</v>
      </c>
      <c r="E21" s="83">
        <f t="shared" si="3"/>
        <v>1.2783825493400375E-2</v>
      </c>
      <c r="I21" s="52">
        <f>SUM(I15:I20)</f>
        <v>35223.351488026041</v>
      </c>
      <c r="J21" s="92">
        <f t="shared" si="5"/>
        <v>1.9313488619470284E-2</v>
      </c>
    </row>
    <row r="22" spans="1:10" x14ac:dyDescent="0.6">
      <c r="B22" s="44"/>
      <c r="C22" s="46"/>
      <c r="D22" s="53"/>
    </row>
    <row r="23" spans="1:10" x14ac:dyDescent="0.6">
      <c r="A23" s="15" t="s">
        <v>446</v>
      </c>
      <c r="B23" s="44"/>
      <c r="C23" s="46"/>
      <c r="D23" s="53"/>
    </row>
    <row r="24" spans="1:10" x14ac:dyDescent="0.6">
      <c r="A24" s="81" t="s">
        <v>276</v>
      </c>
      <c r="B24" s="44">
        <v>15.953746925291441</v>
      </c>
      <c r="C24" s="46">
        <v>968.26356583020765</v>
      </c>
      <c r="D24" s="53">
        <v>3313.3629973378293</v>
      </c>
      <c r="E24" s="83">
        <f t="shared" ref="E24:E30" si="6">IF(ISERROR(C24/D24),"n/a",C24/D24)</f>
        <v>0.29222984822615977</v>
      </c>
      <c r="G24" s="54">
        <v>1.5107753644979616</v>
      </c>
      <c r="I24" s="42">
        <f t="shared" ref="I24:I29" si="7">C24*G24</f>
        <v>1462.8287415972279</v>
      </c>
      <c r="J24" s="92">
        <f t="shared" ref="J24:J30" si="8">IF(ISERROR(I24/D24),"n/a",I24/D24)</f>
        <v>0.44149365547106051</v>
      </c>
    </row>
    <row r="25" spans="1:10" x14ac:dyDescent="0.6">
      <c r="A25" s="81" t="s">
        <v>280</v>
      </c>
      <c r="B25" s="44">
        <v>147.43197138170513</v>
      </c>
      <c r="C25" s="46">
        <v>10847.089558527328</v>
      </c>
      <c r="D25" s="53">
        <v>32640.531727899725</v>
      </c>
      <c r="E25" s="83">
        <f t="shared" si="6"/>
        <v>0.33231963403511905</v>
      </c>
      <c r="G25" s="54">
        <v>1.5107753644979616</v>
      </c>
      <c r="I25" s="42">
        <f t="shared" si="7"/>
        <v>16387.515681526158</v>
      </c>
      <c r="J25" s="92">
        <f t="shared" si="8"/>
        <v>0.50206031623923619</v>
      </c>
    </row>
    <row r="26" spans="1:10" x14ac:dyDescent="0.6">
      <c r="A26" s="81" t="s">
        <v>440</v>
      </c>
      <c r="B26" s="44">
        <v>43.523283098170964</v>
      </c>
      <c r="C26" s="46">
        <v>2461.8738571392751</v>
      </c>
      <c r="D26" s="53">
        <v>7812.5180002280404</v>
      </c>
      <c r="E26" s="83">
        <f t="shared" si="6"/>
        <v>0.31511912767015898</v>
      </c>
      <c r="G26" s="54">
        <v>1.5107753644979616</v>
      </c>
      <c r="I26" s="42">
        <f t="shared" si="7"/>
        <v>3719.3383738675907</v>
      </c>
      <c r="J26" s="92">
        <f t="shared" si="8"/>
        <v>0.47607421496616414</v>
      </c>
    </row>
    <row r="27" spans="1:10" x14ac:dyDescent="0.6">
      <c r="A27" s="81" t="s">
        <v>441</v>
      </c>
      <c r="B27" s="44">
        <v>76.479017572826351</v>
      </c>
      <c r="C27" s="46">
        <v>7019.9496973381447</v>
      </c>
      <c r="D27" s="53">
        <v>31871.572698637363</v>
      </c>
      <c r="E27" s="83">
        <f t="shared" si="6"/>
        <v>0.22025739877085751</v>
      </c>
      <c r="G27" s="54">
        <v>1.5107753644979616</v>
      </c>
      <c r="I27" s="42">
        <f t="shared" si="7"/>
        <v>10605.567062753391</v>
      </c>
      <c r="J27" s="92">
        <f t="shared" si="8"/>
        <v>0.33275945191141515</v>
      </c>
    </row>
    <row r="28" spans="1:10" x14ac:dyDescent="0.6">
      <c r="A28" s="81" t="s">
        <v>443</v>
      </c>
      <c r="B28" s="44">
        <v>0.85567154943329871</v>
      </c>
      <c r="C28" s="46">
        <v>71.073615635849606</v>
      </c>
      <c r="D28" s="53">
        <v>609.77839522739941</v>
      </c>
      <c r="E28" s="83">
        <f t="shared" si="6"/>
        <v>0.1165564673857373</v>
      </c>
      <c r="G28" s="54">
        <v>1.5107753644979616</v>
      </c>
      <c r="I28" s="42">
        <f t="shared" si="7"/>
        <v>107.37626756843871</v>
      </c>
      <c r="J28" s="92">
        <f t="shared" si="8"/>
        <v>0.17609063949928203</v>
      </c>
    </row>
    <row r="29" spans="1:10" x14ac:dyDescent="0.6">
      <c r="A29" s="81" t="s">
        <v>230</v>
      </c>
      <c r="B29" s="44">
        <v>178.74530185526396</v>
      </c>
      <c r="C29" s="46">
        <v>7708.4983896893709</v>
      </c>
      <c r="D29" s="53">
        <v>400947.77474431921</v>
      </c>
      <c r="E29" s="83">
        <f t="shared" si="6"/>
        <v>1.9225691911134837E-2</v>
      </c>
      <c r="G29" s="54">
        <v>1.5107753644979616</v>
      </c>
      <c r="I29" s="42">
        <f t="shared" si="7"/>
        <v>11645.80946441491</v>
      </c>
      <c r="J29" s="92">
        <f t="shared" si="8"/>
        <v>2.9045701704770249E-2</v>
      </c>
    </row>
    <row r="30" spans="1:10" x14ac:dyDescent="0.6">
      <c r="A30" s="82" t="s">
        <v>447</v>
      </c>
      <c r="B30" s="44">
        <f>SUM(B24:B29)</f>
        <v>462.98899238269115</v>
      </c>
      <c r="C30" s="46">
        <f>SUM(C24:C29)</f>
        <v>29076.748684160179</v>
      </c>
      <c r="D30" s="53">
        <f>SUM(D24:D29)</f>
        <v>477195.53856364958</v>
      </c>
      <c r="E30" s="83">
        <f t="shared" si="6"/>
        <v>6.0932566074864608E-2</v>
      </c>
      <c r="I30" s="52">
        <f>SUM(I24:I29)</f>
        <v>43928.435591727713</v>
      </c>
      <c r="J30" s="92">
        <f t="shared" si="8"/>
        <v>9.2055419721549694E-2</v>
      </c>
    </row>
    <row r="31" spans="1:10" x14ac:dyDescent="0.6">
      <c r="B31" s="44"/>
      <c r="C31" s="46"/>
      <c r="D31" s="53"/>
    </row>
    <row r="32" spans="1:10" x14ac:dyDescent="0.6">
      <c r="A32" s="49" t="s">
        <v>435</v>
      </c>
      <c r="B32" s="44"/>
      <c r="C32" s="46"/>
      <c r="D32" s="53"/>
    </row>
    <row r="33" spans="1:11" x14ac:dyDescent="0.6">
      <c r="A33" s="81" t="s">
        <v>280</v>
      </c>
      <c r="B33" s="44">
        <v>86.186802947497341</v>
      </c>
      <c r="C33" s="46">
        <v>4016.5062360780221</v>
      </c>
      <c r="D33" s="53">
        <v>46614.207229267129</v>
      </c>
      <c r="E33" s="83">
        <f t="shared" ref="E33:E38" si="9">IF(ISERROR(C33/D33),"n/a",C33/D33)</f>
        <v>8.6164851336487477E-2</v>
      </c>
      <c r="G33" s="54">
        <v>1.5107753644979616</v>
      </c>
      <c r="I33" s="42">
        <f>C33*G33</f>
        <v>6068.0386728191097</v>
      </c>
      <c r="J33" s="92">
        <f t="shared" ref="J33:J40" si="10">IF(ISERROR(I33/D33),"n/a",I33/D33)</f>
        <v>0.13017573468479454</v>
      </c>
      <c r="K33" s="25"/>
    </row>
    <row r="34" spans="1:11" x14ac:dyDescent="0.6">
      <c r="A34" s="81" t="s">
        <v>440</v>
      </c>
      <c r="B34" s="44">
        <v>0</v>
      </c>
      <c r="C34" s="46">
        <v>0</v>
      </c>
      <c r="D34" s="53">
        <v>0</v>
      </c>
      <c r="E34" s="83" t="str">
        <f t="shared" si="9"/>
        <v>n/a</v>
      </c>
      <c r="G34" s="54">
        <v>1.5107753644979616</v>
      </c>
      <c r="I34" s="42">
        <f>C34*G34</f>
        <v>0</v>
      </c>
      <c r="J34" s="92" t="str">
        <f t="shared" si="10"/>
        <v>n/a</v>
      </c>
    </row>
    <row r="35" spans="1:11" x14ac:dyDescent="0.6">
      <c r="A35" s="81" t="s">
        <v>441</v>
      </c>
      <c r="B35" s="44">
        <v>0</v>
      </c>
      <c r="C35" s="46">
        <v>0</v>
      </c>
      <c r="D35" s="53">
        <v>0</v>
      </c>
      <c r="E35" s="83" t="str">
        <f t="shared" si="9"/>
        <v>n/a</v>
      </c>
      <c r="G35" s="54">
        <v>1.5107753644979616</v>
      </c>
      <c r="I35" s="42">
        <f>C35*G35</f>
        <v>0</v>
      </c>
      <c r="J35" s="92" t="str">
        <f t="shared" si="10"/>
        <v>n/a</v>
      </c>
    </row>
    <row r="36" spans="1:11" x14ac:dyDescent="0.6">
      <c r="A36" s="81" t="s">
        <v>443</v>
      </c>
      <c r="B36" s="44">
        <v>0</v>
      </c>
      <c r="C36" s="46">
        <v>0</v>
      </c>
      <c r="D36" s="53">
        <v>0</v>
      </c>
      <c r="E36" s="83" t="str">
        <f t="shared" si="9"/>
        <v>n/a</v>
      </c>
      <c r="G36" s="54">
        <v>1.5107753644979616</v>
      </c>
      <c r="I36" s="42">
        <f>C36*G36</f>
        <v>0</v>
      </c>
      <c r="J36" s="92" t="str">
        <f t="shared" si="10"/>
        <v>n/a</v>
      </c>
    </row>
    <row r="37" spans="1:11" x14ac:dyDescent="0.6">
      <c r="A37" s="81" t="s">
        <v>230</v>
      </c>
      <c r="B37" s="44">
        <v>9.404718771610332</v>
      </c>
      <c r="C37" s="46">
        <v>405.58413985695853</v>
      </c>
      <c r="D37" s="53">
        <v>37198.355846012972</v>
      </c>
      <c r="E37" s="83">
        <f t="shared" si="9"/>
        <v>1.0903281358346117E-2</v>
      </c>
      <c r="G37" s="54">
        <v>1.5107753644979616</v>
      </c>
      <c r="I37" s="42">
        <f>C37*G37</f>
        <v>612.74652672698869</v>
      </c>
      <c r="J37" s="92">
        <f t="shared" si="10"/>
        <v>1.6472408868379182E-2</v>
      </c>
    </row>
    <row r="38" spans="1:11" x14ac:dyDescent="0.6">
      <c r="A38" s="82" t="s">
        <v>448</v>
      </c>
      <c r="B38" s="44">
        <f>SUM(B33:B37)</f>
        <v>95.591521719107675</v>
      </c>
      <c r="C38" s="46">
        <f>SUM(C33:C37)</f>
        <v>4422.0903759349803</v>
      </c>
      <c r="D38" s="53">
        <f>SUM(D33:D37)</f>
        <v>83812.563075280108</v>
      </c>
      <c r="E38" s="83">
        <f t="shared" si="9"/>
        <v>5.2761665001976807E-2</v>
      </c>
      <c r="I38" s="52">
        <f>SUM(I33:I37)</f>
        <v>6680.7851995460987</v>
      </c>
      <c r="J38" s="92">
        <f t="shared" si="10"/>
        <v>7.9711023674880865E-2</v>
      </c>
    </row>
    <row r="39" spans="1:11" x14ac:dyDescent="0.6">
      <c r="B39" s="44"/>
      <c r="C39" s="46"/>
    </row>
    <row r="40" spans="1:11" x14ac:dyDescent="0.6">
      <c r="A40" s="49" t="s">
        <v>419</v>
      </c>
      <c r="B40" s="44">
        <f>SUM(B12,B21,B30,B38)</f>
        <v>1232.1741566134542</v>
      </c>
      <c r="C40" s="46">
        <f>SUM(C12,C21,C30,C38)</f>
        <v>63335.68248324615</v>
      </c>
      <c r="D40" s="53">
        <f>SUM(D12,D21,D30,D38)</f>
        <v>3693799.6060968405</v>
      </c>
      <c r="E40" s="83">
        <f>IF(ISERROR(C40/D40),"n/a",C40/D40)</f>
        <v>1.7146485797092718E-2</v>
      </c>
      <c r="I40" s="46">
        <f>SUM(I12,I21,I30,I38)</f>
        <v>95685.988789353345</v>
      </c>
      <c r="J40" s="92">
        <f t="shared" si="10"/>
        <v>2.5904488329961867E-2</v>
      </c>
    </row>
    <row r="41" spans="1:11" hidden="1" x14ac:dyDescent="0.6"/>
    <row r="42" spans="1:11" hidden="1" x14ac:dyDescent="0.6">
      <c r="D42" s="53"/>
    </row>
    <row r="43" spans="1:11" hidden="1" x14ac:dyDescent="0.6">
      <c r="A43" s="48" t="s">
        <v>191</v>
      </c>
      <c r="B43" s="138">
        <v>0</v>
      </c>
      <c r="C43" s="138">
        <v>0</v>
      </c>
      <c r="D43" s="138">
        <v>0</v>
      </c>
      <c r="I43" s="138">
        <f>I40/C40-G37</f>
        <v>0</v>
      </c>
      <c r="J43" s="138">
        <f>J40/E40-G37</f>
        <v>0</v>
      </c>
    </row>
    <row r="44" spans="1:11" hidden="1" x14ac:dyDescent="0.6">
      <c r="B44" s="138">
        <v>0</v>
      </c>
      <c r="C44" s="138">
        <v>0</v>
      </c>
      <c r="D44" s="138">
        <v>0</v>
      </c>
    </row>
    <row r="45" spans="1:11" hidden="1" x14ac:dyDescent="0.6">
      <c r="B45" s="138">
        <v>0</v>
      </c>
      <c r="C45" s="138">
        <v>0</v>
      </c>
      <c r="D45" s="138">
        <v>0</v>
      </c>
    </row>
    <row r="46" spans="1:11" hidden="1" x14ac:dyDescent="0.6">
      <c r="B46" s="138">
        <v>0</v>
      </c>
      <c r="C46" s="138">
        <v>0</v>
      </c>
      <c r="D46" s="138">
        <v>0</v>
      </c>
    </row>
    <row r="47" spans="1:11" hidden="1" x14ac:dyDescent="0.6">
      <c r="B47" s="138">
        <v>0</v>
      </c>
      <c r="C47" s="138">
        <v>0</v>
      </c>
      <c r="D47" s="138">
        <v>0</v>
      </c>
    </row>
    <row r="48" spans="1:11" hidden="1" x14ac:dyDescent="0.6">
      <c r="C48" s="138">
        <v>8.1854523159563541E-12</v>
      </c>
      <c r="D48" s="138">
        <v>-2.7648638933897018E-10</v>
      </c>
    </row>
    <row r="49" spans="1:5" x14ac:dyDescent="0.6">
      <c r="A49" s="141"/>
      <c r="B49" s="141"/>
      <c r="C49" s="141"/>
      <c r="D49" s="141"/>
    </row>
    <row r="50" spans="1:5" x14ac:dyDescent="0.6">
      <c r="A50" s="11" t="s">
        <v>235</v>
      </c>
    </row>
    <row r="51" spans="1:5" x14ac:dyDescent="0.6">
      <c r="A51" s="25" t="s">
        <v>800</v>
      </c>
      <c r="E51" s="442"/>
    </row>
    <row r="52" spans="1:5" x14ac:dyDescent="0.6">
      <c r="A52" s="25" t="s">
        <v>795</v>
      </c>
    </row>
    <row r="53" spans="1:5" x14ac:dyDescent="0.6">
      <c r="D53" s="53"/>
    </row>
    <row r="54" spans="1:5" x14ac:dyDescent="0.6">
      <c r="D54" s="53"/>
    </row>
    <row r="55" spans="1:5" x14ac:dyDescent="0.6">
      <c r="D55" s="53"/>
    </row>
    <row r="56" spans="1:5" x14ac:dyDescent="0.6">
      <c r="D56" s="53"/>
    </row>
    <row r="57" spans="1:5" x14ac:dyDescent="0.6">
      <c r="D57" s="53"/>
    </row>
    <row r="58" spans="1:5" x14ac:dyDescent="0.6">
      <c r="D58" s="53"/>
    </row>
    <row r="59" spans="1:5" x14ac:dyDescent="0.6">
      <c r="D59" s="53"/>
    </row>
    <row r="60" spans="1:5" x14ac:dyDescent="0.6">
      <c r="D60" s="53"/>
    </row>
    <row r="61" spans="1:5" x14ac:dyDescent="0.6">
      <c r="D61" s="53"/>
    </row>
    <row r="62" spans="1:5" x14ac:dyDescent="0.6">
      <c r="D62" s="53"/>
    </row>
    <row r="63" spans="1:5" x14ac:dyDescent="0.6">
      <c r="D63" s="53"/>
    </row>
    <row r="64" spans="1:5" x14ac:dyDescent="0.6">
      <c r="D64" s="53"/>
    </row>
    <row r="65" spans="4:4" x14ac:dyDescent="0.6">
      <c r="D65" s="53"/>
    </row>
    <row r="66" spans="4:4" x14ac:dyDescent="0.6">
      <c r="D66" s="53"/>
    </row>
    <row r="67" spans="4:4" x14ac:dyDescent="0.6">
      <c r="D67" s="53"/>
    </row>
    <row r="68" spans="4:4" x14ac:dyDescent="0.6">
      <c r="D68" s="53"/>
    </row>
    <row r="69" spans="4:4" x14ac:dyDescent="0.6">
      <c r="D69" s="53"/>
    </row>
    <row r="70" spans="4:4" x14ac:dyDescent="0.6">
      <c r="D70" s="53"/>
    </row>
    <row r="71" spans="4:4" x14ac:dyDescent="0.6">
      <c r="D71" s="53"/>
    </row>
    <row r="72" spans="4:4" x14ac:dyDescent="0.6">
      <c r="D72" s="53"/>
    </row>
    <row r="73" spans="4:4" x14ac:dyDescent="0.6">
      <c r="D73" s="53"/>
    </row>
    <row r="74" spans="4:4" x14ac:dyDescent="0.6">
      <c r="D74" s="53"/>
    </row>
    <row r="75" spans="4:4" x14ac:dyDescent="0.6">
      <c r="D75" s="53"/>
    </row>
    <row r="76" spans="4:4" x14ac:dyDescent="0.6">
      <c r="D76" s="53"/>
    </row>
    <row r="77" spans="4:4" x14ac:dyDescent="0.6">
      <c r="D77" s="53"/>
    </row>
    <row r="78" spans="4:4" x14ac:dyDescent="0.6">
      <c r="D78" s="53"/>
    </row>
    <row r="79" spans="4:4" x14ac:dyDescent="0.6">
      <c r="D79" s="53"/>
    </row>
    <row r="80" spans="4:4" x14ac:dyDescent="0.6">
      <c r="D80" s="53"/>
    </row>
    <row r="81" spans="4:4" x14ac:dyDescent="0.6">
      <c r="D81" s="53"/>
    </row>
    <row r="82" spans="4:4" x14ac:dyDescent="0.6">
      <c r="D82" s="53"/>
    </row>
    <row r="83" spans="4:4" x14ac:dyDescent="0.6">
      <c r="D83" s="53"/>
    </row>
    <row r="84" spans="4:4" x14ac:dyDescent="0.6">
      <c r="D84" s="53"/>
    </row>
    <row r="85" spans="4:4" x14ac:dyDescent="0.6">
      <c r="D85" s="53"/>
    </row>
    <row r="86" spans="4:4" x14ac:dyDescent="0.6">
      <c r="D86" s="53"/>
    </row>
    <row r="87" spans="4:4" x14ac:dyDescent="0.6">
      <c r="D87" s="53"/>
    </row>
    <row r="88" spans="4:4" x14ac:dyDescent="0.6">
      <c r="D88" s="53"/>
    </row>
    <row r="89" spans="4:4" x14ac:dyDescent="0.6">
      <c r="D89" s="53"/>
    </row>
    <row r="90" spans="4:4" x14ac:dyDescent="0.6">
      <c r="D90" s="53"/>
    </row>
    <row r="91" spans="4:4" x14ac:dyDescent="0.6">
      <c r="D91" s="53"/>
    </row>
    <row r="92" spans="4:4" x14ac:dyDescent="0.6">
      <c r="D92" s="53"/>
    </row>
    <row r="93" spans="4:4" x14ac:dyDescent="0.6">
      <c r="D93" s="53"/>
    </row>
  </sheetData>
  <phoneticPr fontId="0" type="noConversion"/>
  <printOptions horizontalCentered="1"/>
  <pageMargins left="0.75" right="0.75" top="1" bottom="1" header="0.5" footer="0.5"/>
  <pageSetup scale="83" orientation="landscape" r:id="rId1"/>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Y85"/>
  <sheetViews>
    <sheetView zoomScale="70" workbookViewId="0"/>
  </sheetViews>
  <sheetFormatPr defaultRowHeight="13" x14ac:dyDescent="0.6"/>
  <cols>
    <col min="1" max="1" width="0.86328125" customWidth="1"/>
    <col min="2" max="2" width="25.08984375" customWidth="1"/>
    <col min="3" max="3" width="14" customWidth="1"/>
    <col min="4" max="4" width="16.453125" customWidth="1"/>
    <col min="5" max="6" width="10.6796875" customWidth="1"/>
    <col min="7" max="7" width="8.6796875" customWidth="1"/>
    <col min="8" max="9" width="10.6796875" customWidth="1"/>
    <col min="10" max="10" width="8.6796875" customWidth="1"/>
    <col min="11" max="12" width="10.6796875" customWidth="1"/>
    <col min="13" max="13" width="8.6796875" customWidth="1"/>
    <col min="16" max="16" width="10" bestFit="1" customWidth="1"/>
    <col min="22" max="22" width="10.08984375" bestFit="1" customWidth="1"/>
  </cols>
  <sheetData>
    <row r="1" spans="2:25" ht="15.5" x14ac:dyDescent="0.7">
      <c r="B1" s="158" t="s">
        <v>237</v>
      </c>
      <c r="C1" s="158"/>
      <c r="D1" s="158"/>
    </row>
    <row r="2" spans="2:25" ht="16.25" thickBot="1" x14ac:dyDescent="0.85">
      <c r="B2" s="158" t="s">
        <v>787</v>
      </c>
    </row>
    <row r="3" spans="2:25" ht="15.75" customHeight="1" x14ac:dyDescent="0.7">
      <c r="B3" s="373" t="s">
        <v>528</v>
      </c>
      <c r="C3" s="374"/>
      <c r="D3" s="374"/>
      <c r="E3" s="375"/>
      <c r="F3" s="375"/>
      <c r="G3" s="375"/>
      <c r="H3" s="375"/>
      <c r="I3" s="375"/>
      <c r="J3" s="375"/>
      <c r="K3" s="375"/>
      <c r="L3" s="375"/>
      <c r="M3" s="376"/>
    </row>
    <row r="4" spans="2:25" ht="15.5" x14ac:dyDescent="0.7">
      <c r="B4" s="427"/>
      <c r="C4" s="5"/>
      <c r="D4" s="5"/>
      <c r="E4" s="148" t="s">
        <v>348</v>
      </c>
      <c r="F4" s="395"/>
      <c r="G4" s="395"/>
      <c r="H4" s="395"/>
      <c r="I4" s="395"/>
      <c r="J4" s="395"/>
      <c r="K4" s="395"/>
      <c r="L4" s="395"/>
      <c r="M4" s="397"/>
    </row>
    <row r="5" spans="2:25" x14ac:dyDescent="0.6">
      <c r="B5" s="378"/>
      <c r="C5" s="5"/>
      <c r="D5" s="5"/>
      <c r="E5" s="148" t="s">
        <v>334</v>
      </c>
      <c r="F5" s="395"/>
      <c r="G5" s="396"/>
      <c r="H5" s="148" t="s">
        <v>345</v>
      </c>
      <c r="I5" s="395"/>
      <c r="J5" s="396"/>
      <c r="K5" s="148" t="s">
        <v>346</v>
      </c>
      <c r="L5" s="395"/>
      <c r="M5" s="397"/>
    </row>
    <row r="6" spans="2:25" x14ac:dyDescent="0.6">
      <c r="B6" s="378"/>
      <c r="C6" s="91"/>
      <c r="D6" s="91"/>
      <c r="E6" s="371" t="s">
        <v>324</v>
      </c>
      <c r="F6" s="392" t="s">
        <v>103</v>
      </c>
      <c r="G6" s="372" t="s">
        <v>329</v>
      </c>
      <c r="H6" s="371" t="s">
        <v>324</v>
      </c>
      <c r="I6" s="392" t="s">
        <v>103</v>
      </c>
      <c r="J6" s="372" t="s">
        <v>329</v>
      </c>
      <c r="K6" s="371" t="s">
        <v>324</v>
      </c>
      <c r="L6" s="392" t="s">
        <v>103</v>
      </c>
      <c r="M6" s="398" t="s">
        <v>329</v>
      </c>
    </row>
    <row r="7" spans="2:25" x14ac:dyDescent="0.6">
      <c r="B7" s="379" t="s">
        <v>321</v>
      </c>
      <c r="C7" s="283" t="s">
        <v>317</v>
      </c>
      <c r="D7" s="283" t="s">
        <v>267</v>
      </c>
      <c r="E7" s="367" t="s">
        <v>325</v>
      </c>
      <c r="F7" s="366" t="s">
        <v>326</v>
      </c>
      <c r="G7" s="394" t="s">
        <v>324</v>
      </c>
      <c r="H7" s="367" t="s">
        <v>325</v>
      </c>
      <c r="I7" s="366" t="s">
        <v>326</v>
      </c>
      <c r="J7" s="394" t="s">
        <v>324</v>
      </c>
      <c r="K7" s="367" t="s">
        <v>325</v>
      </c>
      <c r="L7" s="366" t="s">
        <v>326</v>
      </c>
      <c r="M7" s="399" t="s">
        <v>324</v>
      </c>
    </row>
    <row r="8" spans="2:25" x14ac:dyDescent="0.6">
      <c r="B8" s="382" t="s">
        <v>316</v>
      </c>
      <c r="C8" s="327" t="s">
        <v>322</v>
      </c>
      <c r="D8" s="327" t="s">
        <v>331</v>
      </c>
      <c r="E8" s="403">
        <f>SUM('Table 3.3-PARS Fwd Summary'!F13)</f>
        <v>2689.7233016962</v>
      </c>
      <c r="F8" s="361"/>
      <c r="G8" s="247"/>
      <c r="H8" s="403">
        <f>SUM('Table 3.6-PARS RTS Summary'!F21,'Table 3.6-PARS RTS Summary'!F31,'Table 3.6-PARS RTS Summary'!F52)</f>
        <v>73376.499755104684</v>
      </c>
      <c r="I8" s="361"/>
      <c r="J8" s="247"/>
      <c r="K8" s="403">
        <f>SUM('Table 3.9-PARS Wst Summary'!F21,'Table 3.9-PARS Wst Summary'!F39)</f>
        <v>19295.313670122436</v>
      </c>
      <c r="L8" s="361"/>
      <c r="M8" s="390"/>
      <c r="P8" s="485"/>
      <c r="Q8" s="151"/>
      <c r="R8" s="151"/>
      <c r="S8" s="485"/>
      <c r="T8" s="151"/>
      <c r="U8" s="151"/>
      <c r="V8" s="485"/>
      <c r="W8" s="151"/>
      <c r="X8" s="151"/>
      <c r="Y8" s="151"/>
    </row>
    <row r="9" spans="2:25" x14ac:dyDescent="0.6">
      <c r="B9" s="382" t="s">
        <v>318</v>
      </c>
      <c r="C9" s="327" t="s">
        <v>323</v>
      </c>
      <c r="D9" s="327" t="s">
        <v>347</v>
      </c>
      <c r="E9" s="404">
        <f>SUM('Table 3.3-PARS Fwd Summary'!F14)</f>
        <v>246.84648081452971</v>
      </c>
      <c r="F9" s="18"/>
      <c r="G9" s="369"/>
      <c r="H9" s="404">
        <f>SUM('Table 3.6-PARS RTS Summary'!F9,'Table 3.6-PARS RTS Summary'!F22,'Table 3.6-PARS RTS Summary'!F32,'Table 3.6-PARS RTS Summary'!F37,'Table 3.6-PARS RTS Summary'!F53)</f>
        <v>13923.395415780247</v>
      </c>
      <c r="I9" s="18"/>
      <c r="J9" s="369"/>
      <c r="K9" s="404">
        <f>SUM('Table 3.9-PARS Wst Summary'!F9,'Table 3.9-PARS Wst Summary'!F22,'Table 3.9-PARS Wst Summary'!F40)</f>
        <v>2363.9598130048194</v>
      </c>
      <c r="L9" s="18"/>
      <c r="M9" s="377"/>
      <c r="P9" s="485"/>
      <c r="Q9" s="151"/>
      <c r="R9" s="151"/>
      <c r="S9" s="485"/>
      <c r="T9" s="151"/>
      <c r="U9" s="151"/>
      <c r="V9" s="485"/>
      <c r="W9" s="151"/>
      <c r="X9" s="151"/>
      <c r="Y9" s="151"/>
    </row>
    <row r="10" spans="2:25" ht="12.75" customHeight="1" x14ac:dyDescent="0.6">
      <c r="B10" s="382" t="s">
        <v>319</v>
      </c>
      <c r="C10" s="327" t="s">
        <v>323</v>
      </c>
      <c r="D10" s="327" t="s">
        <v>349</v>
      </c>
      <c r="E10" s="404">
        <f>SUM('Table 3.3-PARS Fwd Summary'!F9,'Table 3.3-PARS Fwd Summary'!F19)</f>
        <v>9537.4107310733634</v>
      </c>
      <c r="F10" s="18"/>
      <c r="G10" s="369"/>
      <c r="H10" s="404">
        <f>SUM('Table 3.6-PARS RTS Summary'!F17,'Table 3.6-PARS RTS Summary'!F27,'Table 3.6-PARS RTS Summary'!F48,'Table 3.6-PARS RTS Summary'!F58)</f>
        <v>3310.1364417731097</v>
      </c>
      <c r="I10" s="18"/>
      <c r="J10" s="369"/>
      <c r="K10" s="404">
        <f>SUM('Table 3.9-PARS Wst Summary'!F17,'Table 3.9-PARS Wst Summary'!F27,'Table 3.9-PARS Wst Summary'!F35,'Table 3.9-PARS Wst Summary'!F45)</f>
        <v>887.24585887195383</v>
      </c>
      <c r="L10" s="18"/>
      <c r="M10" s="377"/>
      <c r="P10" s="485"/>
      <c r="Q10" s="151"/>
      <c r="R10" s="151"/>
      <c r="S10" s="485"/>
      <c r="T10" s="151"/>
      <c r="U10" s="151"/>
      <c r="V10" s="485"/>
      <c r="W10" s="151"/>
      <c r="X10" s="151"/>
      <c r="Y10" s="151"/>
    </row>
    <row r="11" spans="2:25" ht="12.75" customHeight="1" x14ac:dyDescent="0.6">
      <c r="B11" s="380" t="s">
        <v>459</v>
      </c>
      <c r="C11" s="327" t="s">
        <v>332</v>
      </c>
      <c r="D11" s="364" t="s">
        <v>531</v>
      </c>
      <c r="E11" s="404">
        <f>SUM('Table 3.3-PARS Fwd Summary'!F5,'Table 3.3-PARS Fwd Summary'!F15)</f>
        <v>45541.202502368978</v>
      </c>
      <c r="F11" s="18"/>
      <c r="G11" s="369"/>
      <c r="H11" s="404">
        <f>SUM('Table 3.6-PARS RTS Summary'!F5,'Table 3.6-PARS RTS Summary'!F13,'Table 3.6-PARS RTS Summary'!F23,'Table 3.6-PARS RTS Summary'!F33,'Table 3.6-PARS RTS Summary'!F44,'Table 3.6-PARS RTS Summary'!F54)</f>
        <v>-7856.0797521657387</v>
      </c>
      <c r="I11" s="18"/>
      <c r="J11" s="369"/>
      <c r="K11" s="404">
        <f>SUM('Table 3.9-PARS Wst Summary'!F5,'Table 3.9-PARS Wst Summary'!F13,'Table 3.9-PARS Wst Summary'!F23,'Table 3.9-PARS Wst Summary'!F31,'Table 3.9-PARS Wst Summary'!F41)</f>
        <v>65004.480575956455</v>
      </c>
      <c r="L11" s="18"/>
      <c r="M11" s="377"/>
      <c r="P11" s="485"/>
      <c r="Q11" s="151"/>
      <c r="R11" s="151"/>
      <c r="S11" s="485"/>
      <c r="T11" s="151"/>
      <c r="U11" s="151"/>
      <c r="V11" s="485"/>
      <c r="W11" s="151"/>
      <c r="X11" s="151"/>
      <c r="Y11" s="151"/>
    </row>
    <row r="12" spans="2:25" ht="12.75" customHeight="1" x14ac:dyDescent="0.6">
      <c r="B12" s="380" t="s">
        <v>530</v>
      </c>
      <c r="C12" s="327" t="s">
        <v>323</v>
      </c>
      <c r="D12" s="327" t="s">
        <v>46</v>
      </c>
      <c r="E12" s="404">
        <f>SUM('Table 3.3-PARS Fwd Summary'!F7:F8,'Table 3.3-PARS Fwd Summary'!F17:F18)</f>
        <v>33569.87392608136</v>
      </c>
      <c r="F12" s="18"/>
      <c r="G12" s="369"/>
      <c r="H12" s="404">
        <f>SUM('Table 3.6-PARS RTS Summary'!F7:F8,'Table 3.6-PARS RTS Summary'!F15:F16,'Table 3.6-PARS RTS Summary'!F25:F26,'Table 3.6-PARS RTS Summary'!F35:F36,'Table 3.6-PARS RTS Summary'!F46:F47,'Table 3.6-PARS RTS Summary'!F56:F57)</f>
        <v>3957.3368597022636</v>
      </c>
      <c r="I12" s="18"/>
      <c r="J12" s="369"/>
      <c r="K12" s="404">
        <f>SUM('Table 3.9-PARS Wst Summary'!F7:F8,'Table 3.9-PARS Wst Summary'!F15:F16,'Table 3.9-PARS Wst Summary'!F25:F26,'Table 3.9-PARS Wst Summary'!F33:F34,'Table 3.9-PARS Wst Summary'!F43:F44)</f>
        <v>46474.794787781721</v>
      </c>
      <c r="L12" s="18"/>
      <c r="M12" s="377"/>
      <c r="P12" s="485"/>
      <c r="Q12" s="151"/>
      <c r="R12" s="151"/>
      <c r="S12" s="485"/>
      <c r="T12" s="151"/>
      <c r="U12" s="151"/>
      <c r="V12" s="485"/>
      <c r="W12" s="151"/>
      <c r="X12" s="151"/>
      <c r="Y12" s="151"/>
    </row>
    <row r="13" spans="2:25" x14ac:dyDescent="0.6">
      <c r="B13" s="380" t="s">
        <v>335</v>
      </c>
      <c r="C13" s="327" t="s">
        <v>332</v>
      </c>
      <c r="D13" s="327" t="s">
        <v>330</v>
      </c>
      <c r="E13" s="404">
        <f>'Table 3.3-PARS Fwd Summary'!F23</f>
        <v>81311.768330930427</v>
      </c>
      <c r="F13" s="18"/>
      <c r="G13" s="589"/>
      <c r="H13" s="404">
        <f>'Table 3.6-PARS RTS Summary'!F62</f>
        <v>498172.5058800368</v>
      </c>
      <c r="I13" s="18"/>
      <c r="J13" s="589"/>
      <c r="K13" s="404">
        <v>0</v>
      </c>
      <c r="L13" s="18"/>
      <c r="M13" s="377"/>
      <c r="O13" s="588"/>
      <c r="P13" s="485"/>
      <c r="Q13" s="151"/>
      <c r="R13" s="600"/>
      <c r="S13" s="485"/>
      <c r="T13" s="151"/>
      <c r="U13" s="600"/>
      <c r="V13" s="485"/>
      <c r="W13" s="151"/>
      <c r="X13" s="151"/>
      <c r="Y13" s="151"/>
    </row>
    <row r="14" spans="2:25" x14ac:dyDescent="0.6">
      <c r="B14" s="383" t="s">
        <v>336</v>
      </c>
      <c r="C14" s="325" t="s">
        <v>322</v>
      </c>
      <c r="D14" s="365" t="s">
        <v>171</v>
      </c>
      <c r="E14" s="405">
        <f>SUM('Table 3.3-PARS Fwd Summary'!F24:F26)</f>
        <v>0</v>
      </c>
      <c r="F14" s="283"/>
      <c r="G14" s="370"/>
      <c r="H14" s="405">
        <f>SUM('Table 3.6-PARS RTS Summary'!F63:F65)</f>
        <v>14135.943097972535</v>
      </c>
      <c r="I14" s="283"/>
      <c r="J14" s="370"/>
      <c r="K14" s="405">
        <v>0</v>
      </c>
      <c r="L14" s="283"/>
      <c r="M14" s="387"/>
      <c r="O14" s="165"/>
      <c r="P14" s="485"/>
      <c r="Q14" s="151"/>
      <c r="R14" s="151"/>
      <c r="S14" s="485"/>
      <c r="T14" s="151"/>
      <c r="U14" s="151"/>
      <c r="V14" s="485"/>
      <c r="W14" s="151"/>
      <c r="X14" s="151"/>
      <c r="Y14" s="151"/>
    </row>
    <row r="15" spans="2:25" ht="13.75" thickBot="1" x14ac:dyDescent="0.75">
      <c r="B15" s="384"/>
      <c r="C15" s="385"/>
      <c r="D15" s="391" t="s">
        <v>277</v>
      </c>
      <c r="E15" s="409">
        <f>SUM(E8:E14)</f>
        <v>172896.82527296484</v>
      </c>
      <c r="F15" s="410">
        <f>'Table 3.3-PARS Fwd Summary'!B29</f>
        <v>744901.01500000001</v>
      </c>
      <c r="G15" s="400">
        <f>E15/F15</f>
        <v>0.23210711462510872</v>
      </c>
      <c r="H15" s="411">
        <f>SUM(H8:H14)</f>
        <v>599019.73769820388</v>
      </c>
      <c r="I15" s="410">
        <f>'Table 3.6-PARS RTS Summary'!B68</f>
        <v>1257652.6709999999</v>
      </c>
      <c r="J15" s="400">
        <f>H15/I15</f>
        <v>0.47629981751790351</v>
      </c>
      <c r="K15" s="411">
        <f>SUM(K8:K14)</f>
        <v>134025.79470573738</v>
      </c>
      <c r="L15" s="410">
        <f>'Table 3.9-PARS Wst Summary'!B48</f>
        <v>1177497.6199999999</v>
      </c>
      <c r="M15" s="401">
        <f>K15/L15</f>
        <v>0.11382256102202347</v>
      </c>
      <c r="O15" s="83"/>
      <c r="P15" s="601"/>
      <c r="Q15" s="602"/>
      <c r="R15" s="603"/>
      <c r="S15" s="601"/>
      <c r="T15" s="602"/>
      <c r="U15" s="603"/>
      <c r="V15" s="601"/>
      <c r="W15" s="602"/>
      <c r="X15" s="603"/>
      <c r="Y15" s="484"/>
    </row>
    <row r="16" spans="2:25" ht="5.15" customHeight="1" thickBot="1" x14ac:dyDescent="0.75">
      <c r="B16" s="536"/>
      <c r="C16" s="375"/>
      <c r="D16" s="402"/>
      <c r="E16" s="374"/>
      <c r="F16" s="393"/>
      <c r="G16" s="173"/>
      <c r="H16" s="5"/>
      <c r="I16" s="393"/>
      <c r="J16" s="173"/>
      <c r="K16" s="5"/>
      <c r="L16" s="393"/>
      <c r="M16" s="537"/>
      <c r="P16" s="604"/>
      <c r="Q16" s="605"/>
      <c r="R16" s="603"/>
      <c r="S16" s="604"/>
      <c r="T16" s="605"/>
      <c r="U16" s="603"/>
      <c r="V16" s="604"/>
      <c r="W16" s="605"/>
      <c r="X16" s="603"/>
      <c r="Y16" s="151"/>
    </row>
    <row r="17" spans="2:25" ht="15.75" customHeight="1" x14ac:dyDescent="0.7">
      <c r="B17" s="373" t="s">
        <v>529</v>
      </c>
      <c r="C17" s="374"/>
      <c r="D17" s="374"/>
      <c r="E17" s="375"/>
      <c r="F17" s="375"/>
      <c r="G17" s="375"/>
      <c r="H17" s="375"/>
      <c r="I17" s="375"/>
      <c r="J17" s="375"/>
      <c r="K17" s="375"/>
      <c r="L17" s="375"/>
      <c r="M17" s="376"/>
      <c r="P17" s="151"/>
      <c r="Q17" s="151"/>
      <c r="R17" s="151"/>
      <c r="S17" s="151"/>
      <c r="T17" s="151"/>
      <c r="U17" s="151"/>
      <c r="V17" s="151"/>
      <c r="W17" s="151"/>
      <c r="X17" s="151"/>
      <c r="Y17" s="151"/>
    </row>
    <row r="18" spans="2:25" ht="12.75" customHeight="1" x14ac:dyDescent="0.7">
      <c r="B18" s="427"/>
      <c r="C18" s="5"/>
      <c r="D18" s="5"/>
      <c r="E18" s="148" t="s">
        <v>348</v>
      </c>
      <c r="F18" s="395"/>
      <c r="G18" s="395"/>
      <c r="H18" s="395"/>
      <c r="I18" s="395"/>
      <c r="J18" s="395"/>
      <c r="K18" s="395"/>
      <c r="L18" s="395"/>
      <c r="M18" s="397"/>
      <c r="P18" s="606"/>
      <c r="Q18" s="607"/>
      <c r="R18" s="607"/>
      <c r="S18" s="607"/>
      <c r="T18" s="607"/>
      <c r="U18" s="607"/>
      <c r="V18" s="607"/>
      <c r="W18" s="607"/>
      <c r="X18" s="607"/>
      <c r="Y18" s="151"/>
    </row>
    <row r="19" spans="2:25" ht="12.75" customHeight="1" x14ac:dyDescent="0.6">
      <c r="B19" s="378"/>
      <c r="C19" s="5"/>
      <c r="D19" s="5"/>
      <c r="E19" s="148" t="s">
        <v>564</v>
      </c>
      <c r="F19" s="395"/>
      <c r="G19" s="396"/>
      <c r="H19" s="148" t="s">
        <v>565</v>
      </c>
      <c r="I19" s="395"/>
      <c r="J19" s="396"/>
      <c r="K19" s="148" t="s">
        <v>566</v>
      </c>
      <c r="L19" s="395"/>
      <c r="M19" s="397"/>
      <c r="P19" s="606"/>
      <c r="Q19" s="607"/>
      <c r="R19" s="607"/>
      <c r="S19" s="606"/>
      <c r="T19" s="607"/>
      <c r="U19" s="607"/>
      <c r="V19" s="606"/>
      <c r="W19" s="607"/>
      <c r="X19" s="607"/>
      <c r="Y19" s="151"/>
    </row>
    <row r="20" spans="2:25" ht="12.75" customHeight="1" x14ac:dyDescent="0.6">
      <c r="B20" s="378"/>
      <c r="C20" s="91"/>
      <c r="D20" s="91"/>
      <c r="E20" s="371" t="s">
        <v>324</v>
      </c>
      <c r="F20" s="392" t="s">
        <v>103</v>
      </c>
      <c r="G20" s="372" t="s">
        <v>329</v>
      </c>
      <c r="H20" s="371" t="s">
        <v>324</v>
      </c>
      <c r="I20" s="392" t="s">
        <v>103</v>
      </c>
      <c r="J20" s="372" t="s">
        <v>329</v>
      </c>
      <c r="K20" s="371" t="s">
        <v>324</v>
      </c>
      <c r="L20" s="392" t="s">
        <v>103</v>
      </c>
      <c r="M20" s="398" t="s">
        <v>329</v>
      </c>
      <c r="P20" s="495"/>
      <c r="Q20" s="495"/>
      <c r="R20" s="495"/>
      <c r="S20" s="495"/>
      <c r="T20" s="495"/>
      <c r="U20" s="495"/>
      <c r="V20" s="495"/>
      <c r="W20" s="495"/>
      <c r="X20" s="495"/>
      <c r="Y20" s="151"/>
    </row>
    <row r="21" spans="2:25" ht="12.75" customHeight="1" x14ac:dyDescent="0.6">
      <c r="B21" s="379" t="s">
        <v>321</v>
      </c>
      <c r="C21" s="283" t="s">
        <v>317</v>
      </c>
      <c r="D21" s="283" t="s">
        <v>267</v>
      </c>
      <c r="E21" s="367" t="s">
        <v>325</v>
      </c>
      <c r="F21" s="366" t="s">
        <v>326</v>
      </c>
      <c r="G21" s="394" t="s">
        <v>324</v>
      </c>
      <c r="H21" s="367" t="s">
        <v>325</v>
      </c>
      <c r="I21" s="366" t="s">
        <v>326</v>
      </c>
      <c r="J21" s="394" t="s">
        <v>324</v>
      </c>
      <c r="K21" s="367" t="s">
        <v>325</v>
      </c>
      <c r="L21" s="366" t="s">
        <v>326</v>
      </c>
      <c r="M21" s="399" t="s">
        <v>324</v>
      </c>
      <c r="P21" s="514"/>
      <c r="Q21" s="514"/>
      <c r="R21" s="495"/>
      <c r="S21" s="514"/>
      <c r="T21" s="514"/>
      <c r="U21" s="495"/>
      <c r="V21" s="514"/>
      <c r="W21" s="514"/>
      <c r="X21" s="495"/>
      <c r="Y21" s="151"/>
    </row>
    <row r="22" spans="2:25" ht="12.75" customHeight="1" x14ac:dyDescent="0.6">
      <c r="B22" s="382" t="s">
        <v>316</v>
      </c>
      <c r="C22" s="327" t="s">
        <v>322</v>
      </c>
      <c r="D22" s="327" t="s">
        <v>331</v>
      </c>
      <c r="E22" s="403">
        <f>SUM('Table 3.4-NonPARS Fwd Summary'!F5,'Table 3.4-NonPARS Fwd Summary'!F11)</f>
        <v>6939.6109495135297</v>
      </c>
      <c r="F22" s="361"/>
      <c r="G22" s="247"/>
      <c r="H22" s="403">
        <f>SUM('Table 3.7-NonPARS RTS Summary'!F5,'Table 3.7-NonPARS RTS Summary'!F11,'Table 3.7-NonPARS RTS Summary'!F17)</f>
        <v>8743.6404780202374</v>
      </c>
      <c r="I22" s="361"/>
      <c r="J22" s="247"/>
      <c r="K22" s="403">
        <f>SUM('Table 3.10-NonPARS Wst Summary'!F5,'Table 3.10-NonPARS Wst Summary'!F10,'Table 3.10-NonPARS Wst Summary'!F15)</f>
        <v>82019.060443111506</v>
      </c>
      <c r="L22" s="361"/>
      <c r="M22" s="390"/>
      <c r="P22" s="485"/>
      <c r="Q22" s="151"/>
      <c r="R22" s="151"/>
      <c r="S22" s="485"/>
      <c r="T22" s="151"/>
      <c r="U22" s="151"/>
      <c r="V22" s="485"/>
      <c r="W22" s="151"/>
      <c r="X22" s="151"/>
      <c r="Y22" s="151"/>
    </row>
    <row r="23" spans="2:25" ht="12.75" customHeight="1" x14ac:dyDescent="0.6">
      <c r="B23" s="382" t="s">
        <v>318</v>
      </c>
      <c r="C23" s="327" t="s">
        <v>323</v>
      </c>
      <c r="D23" s="327" t="s">
        <v>347</v>
      </c>
      <c r="E23" s="404">
        <f>SUM('Table 3.4-NonPARS Fwd Summary'!F6:F7)</f>
        <v>5357.564946989577</v>
      </c>
      <c r="F23" s="18"/>
      <c r="G23" s="369"/>
      <c r="H23" s="404">
        <f>SUM('Table 3.7-NonPARS RTS Summary'!F6:F7,'Table 3.7-NonPARS RTS Summary'!F18)</f>
        <v>19765.484206868379</v>
      </c>
      <c r="I23" s="18"/>
      <c r="J23" s="369"/>
      <c r="K23" s="404">
        <f>SUM('Table 3.10-NonPARS Wst Summary'!F6,'Table 3.10-NonPARS Wst Summary'!F16)</f>
        <v>40770.976718850929</v>
      </c>
      <c r="L23" s="18"/>
      <c r="M23" s="377"/>
      <c r="P23" s="485"/>
      <c r="Q23" s="151"/>
      <c r="R23" s="151"/>
      <c r="S23" s="485"/>
      <c r="T23" s="151"/>
      <c r="U23" s="151"/>
      <c r="V23" s="485"/>
      <c r="W23" s="151"/>
      <c r="X23" s="151"/>
      <c r="Y23" s="151"/>
    </row>
    <row r="24" spans="2:25" ht="12.75" customHeight="1" x14ac:dyDescent="0.6">
      <c r="B24" s="382" t="s">
        <v>319</v>
      </c>
      <c r="C24" s="327" t="s">
        <v>323</v>
      </c>
      <c r="D24" s="327" t="s">
        <v>349</v>
      </c>
      <c r="E24" s="404">
        <f>SUM('Table 3.4-NonPARS Fwd Summary'!F12:F13)</f>
        <v>9710.9345053082125</v>
      </c>
      <c r="F24" s="18"/>
      <c r="G24" s="369"/>
      <c r="H24" s="404">
        <f>SUM('Table 3.7-NonPARS RTS Summary'!F12:F13,'Table 3.7-NonPARS RTS Summary'!F19)</f>
        <v>10185.281985435915</v>
      </c>
      <c r="I24" s="18"/>
      <c r="J24" s="369"/>
      <c r="K24" s="404">
        <f>SUM('Table 3.10-NonPARS Wst Summary'!F11,'Table 3.10-NonPARS Wst Summary'!F17)</f>
        <v>14083.865799875588</v>
      </c>
      <c r="L24" s="18"/>
      <c r="M24" s="377"/>
      <c r="P24" s="485"/>
      <c r="Q24" s="151"/>
      <c r="R24" s="151"/>
      <c r="S24" s="485"/>
      <c r="T24" s="151"/>
      <c r="U24" s="151"/>
      <c r="V24" s="485"/>
      <c r="W24" s="151"/>
      <c r="X24" s="151"/>
      <c r="Y24" s="151"/>
    </row>
    <row r="25" spans="2:25" ht="12.75" customHeight="1" x14ac:dyDescent="0.6">
      <c r="B25" s="380" t="s">
        <v>335</v>
      </c>
      <c r="C25" s="327" t="s">
        <v>332</v>
      </c>
      <c r="D25" s="327" t="s">
        <v>330</v>
      </c>
      <c r="E25" s="404">
        <f>'Table 3.4-NonPARS Fwd Summary'!F17</f>
        <v>29691.883311314199</v>
      </c>
      <c r="F25" s="18"/>
      <c r="G25" s="589"/>
      <c r="H25" s="404">
        <f>'Table 3.7-NonPARS RTS Summary'!F23</f>
        <v>216599.56983994713</v>
      </c>
      <c r="I25" s="18"/>
      <c r="J25" s="589"/>
      <c r="K25" s="404">
        <v>0</v>
      </c>
      <c r="L25" s="18"/>
      <c r="M25" s="377"/>
      <c r="O25" s="588"/>
      <c r="P25" s="485"/>
      <c r="Q25" s="151"/>
      <c r="R25" s="600"/>
      <c r="S25" s="485"/>
      <c r="T25" s="151"/>
      <c r="U25" s="600"/>
      <c r="V25" s="485"/>
      <c r="W25" s="151"/>
      <c r="X25" s="151"/>
      <c r="Y25" s="151"/>
    </row>
    <row r="26" spans="2:25" ht="12.75" customHeight="1" x14ac:dyDescent="0.6">
      <c r="B26" s="383" t="s">
        <v>336</v>
      </c>
      <c r="C26" s="325" t="s">
        <v>322</v>
      </c>
      <c r="D26" s="365" t="s">
        <v>171</v>
      </c>
      <c r="E26" s="405">
        <f>SUM('Table 3.4-NonPARS Fwd Summary'!F18:F21)</f>
        <v>8635.6346281388123</v>
      </c>
      <c r="F26" s="283"/>
      <c r="G26" s="370"/>
      <c r="H26" s="405">
        <f>SUM('Table 3.7-NonPARS RTS Summary'!F24:F26)</f>
        <v>30721.525787595863</v>
      </c>
      <c r="I26" s="283"/>
      <c r="J26" s="370"/>
      <c r="K26" s="405">
        <v>0</v>
      </c>
      <c r="L26" s="283"/>
      <c r="M26" s="387"/>
      <c r="O26" s="165"/>
      <c r="P26" s="485"/>
      <c r="Q26" s="151"/>
      <c r="R26" s="151"/>
      <c r="S26" s="485"/>
      <c r="T26" s="151"/>
      <c r="U26" s="151"/>
      <c r="V26" s="485"/>
      <c r="W26" s="151"/>
      <c r="X26" s="151"/>
      <c r="Y26" s="151"/>
    </row>
    <row r="27" spans="2:25" ht="12.75" customHeight="1" thickBot="1" x14ac:dyDescent="0.75">
      <c r="B27" s="384"/>
      <c r="C27" s="385"/>
      <c r="D27" s="391" t="s">
        <v>277</v>
      </c>
      <c r="E27" s="411">
        <f>SUM(E22:E26)</f>
        <v>60335.628341264324</v>
      </c>
      <c r="F27" s="410">
        <f>'Table 3.4-NonPARS Fwd Summary'!B24</f>
        <v>74459.703361479042</v>
      </c>
      <c r="G27" s="400">
        <f>E27/F27</f>
        <v>0.81031249947845396</v>
      </c>
      <c r="H27" s="411">
        <f>SUM(H22:H26)</f>
        <v>286015.50229786756</v>
      </c>
      <c r="I27" s="410">
        <f>'Table 3.7-NonPARS RTS Summary'!B29</f>
        <v>87512.599768421933</v>
      </c>
      <c r="J27" s="400">
        <f>H27/I27</f>
        <v>3.2682779743114598</v>
      </c>
      <c r="K27" s="411">
        <f>SUM(K22:K26)</f>
        <v>136873.90296183803</v>
      </c>
      <c r="L27" s="410">
        <f>'Table 3.10-NonPARS Wst Summary'!B20</f>
        <v>2248074.26499948</v>
      </c>
      <c r="M27" s="401">
        <f>K27/L27</f>
        <v>6.0884956112368327E-2</v>
      </c>
      <c r="O27" s="83"/>
      <c r="P27" s="601"/>
      <c r="Q27" s="602"/>
      <c r="R27" s="603"/>
      <c r="S27" s="601"/>
      <c r="T27" s="602"/>
      <c r="U27" s="603"/>
      <c r="V27" s="601"/>
      <c r="W27" s="602"/>
      <c r="X27" s="603"/>
      <c r="Y27" s="484"/>
    </row>
    <row r="28" spans="2:25" ht="5.15" customHeight="1" thickBot="1" x14ac:dyDescent="0.75">
      <c r="B28" s="538"/>
      <c r="C28" s="18"/>
      <c r="D28" s="512"/>
      <c r="E28" s="5"/>
      <c r="F28" s="393"/>
      <c r="G28" s="173"/>
      <c r="H28" s="5"/>
      <c r="I28" s="393"/>
      <c r="J28" s="173"/>
      <c r="K28" s="5"/>
      <c r="L28" s="393"/>
      <c r="M28" s="537"/>
      <c r="P28" s="604"/>
      <c r="Q28" s="605"/>
      <c r="R28" s="603"/>
      <c r="S28" s="604"/>
      <c r="T28" s="605"/>
      <c r="U28" s="603"/>
      <c r="V28" s="604"/>
      <c r="W28" s="605"/>
      <c r="X28" s="603"/>
      <c r="Y28" s="151"/>
    </row>
    <row r="29" spans="2:25" ht="15.75" customHeight="1" x14ac:dyDescent="0.7">
      <c r="B29" s="373" t="s">
        <v>532</v>
      </c>
      <c r="C29" s="374"/>
      <c r="D29" s="374"/>
      <c r="E29" s="375"/>
      <c r="F29" s="375"/>
      <c r="G29" s="375"/>
      <c r="H29" s="375"/>
      <c r="I29" s="375"/>
      <c r="J29" s="375"/>
      <c r="K29" s="375"/>
      <c r="L29" s="375"/>
      <c r="M29" s="376"/>
      <c r="P29" s="151"/>
      <c r="Q29" s="151"/>
      <c r="R29" s="151"/>
      <c r="S29" s="151"/>
      <c r="T29" s="151"/>
      <c r="U29" s="151"/>
      <c r="V29" s="151"/>
      <c r="W29" s="151"/>
      <c r="X29" s="151"/>
      <c r="Y29" s="151"/>
    </row>
    <row r="30" spans="2:25" ht="12.75" customHeight="1" x14ac:dyDescent="0.7">
      <c r="B30" s="427"/>
      <c r="C30" s="5"/>
      <c r="D30" s="5"/>
      <c r="E30" s="148" t="s">
        <v>348</v>
      </c>
      <c r="F30" s="395"/>
      <c r="G30" s="395"/>
      <c r="H30" s="395"/>
      <c r="I30" s="395"/>
      <c r="J30" s="395"/>
      <c r="K30" s="395"/>
      <c r="L30" s="395"/>
      <c r="M30" s="397"/>
      <c r="P30" s="606"/>
      <c r="Q30" s="607"/>
      <c r="R30" s="607"/>
      <c r="S30" s="607"/>
      <c r="T30" s="607"/>
      <c r="U30" s="607"/>
      <c r="V30" s="607"/>
      <c r="W30" s="607"/>
      <c r="X30" s="607"/>
      <c r="Y30" s="151"/>
    </row>
    <row r="31" spans="2:25" ht="12.75" customHeight="1" x14ac:dyDescent="0.6">
      <c r="B31" s="378"/>
      <c r="C31" s="5"/>
      <c r="D31" s="5"/>
      <c r="E31" s="148" t="s">
        <v>278</v>
      </c>
      <c r="F31" s="395"/>
      <c r="G31" s="396"/>
      <c r="H31" s="148" t="s">
        <v>280</v>
      </c>
      <c r="I31" s="395"/>
      <c r="J31" s="396"/>
      <c r="K31" s="148" t="s">
        <v>279</v>
      </c>
      <c r="L31" s="395"/>
      <c r="M31" s="397"/>
      <c r="P31" s="606"/>
      <c r="Q31" s="607"/>
      <c r="R31" s="607"/>
      <c r="S31" s="606"/>
      <c r="T31" s="607"/>
      <c r="U31" s="607"/>
      <c r="V31" s="606"/>
      <c r="W31" s="607"/>
      <c r="X31" s="607"/>
      <c r="Y31" s="151"/>
    </row>
    <row r="32" spans="2:25" ht="12.75" customHeight="1" x14ac:dyDescent="0.6">
      <c r="B32" s="378"/>
      <c r="C32" s="91"/>
      <c r="D32" s="91"/>
      <c r="E32" s="371" t="s">
        <v>324</v>
      </c>
      <c r="F32" s="392" t="s">
        <v>103</v>
      </c>
      <c r="G32" s="372" t="s">
        <v>329</v>
      </c>
      <c r="H32" s="371" t="s">
        <v>324</v>
      </c>
      <c r="I32" s="392" t="s">
        <v>103</v>
      </c>
      <c r="J32" s="372" t="s">
        <v>329</v>
      </c>
      <c r="K32" s="371" t="s">
        <v>324</v>
      </c>
      <c r="L32" s="392" t="s">
        <v>103</v>
      </c>
      <c r="M32" s="398" t="s">
        <v>329</v>
      </c>
      <c r="P32" s="495"/>
      <c r="Q32" s="495"/>
      <c r="R32" s="495"/>
      <c r="S32" s="495"/>
      <c r="T32" s="495"/>
      <c r="U32" s="495"/>
      <c r="V32" s="495"/>
      <c r="W32" s="495"/>
      <c r="X32" s="495"/>
      <c r="Y32" s="151"/>
    </row>
    <row r="33" spans="2:25" ht="12.75" customHeight="1" x14ac:dyDescent="0.6">
      <c r="B33" s="379" t="s">
        <v>321</v>
      </c>
      <c r="C33" s="283" t="s">
        <v>317</v>
      </c>
      <c r="D33" s="283" t="s">
        <v>267</v>
      </c>
      <c r="E33" s="367" t="s">
        <v>325</v>
      </c>
      <c r="F33" s="366" t="s">
        <v>326</v>
      </c>
      <c r="G33" s="394" t="s">
        <v>324</v>
      </c>
      <c r="H33" s="367" t="s">
        <v>325</v>
      </c>
      <c r="I33" s="366" t="s">
        <v>326</v>
      </c>
      <c r="J33" s="394" t="s">
        <v>324</v>
      </c>
      <c r="K33" s="367" t="s">
        <v>325</v>
      </c>
      <c r="L33" s="366" t="s">
        <v>326</v>
      </c>
      <c r="M33" s="399" t="s">
        <v>324</v>
      </c>
      <c r="P33" s="514"/>
      <c r="Q33" s="514"/>
      <c r="R33" s="495"/>
      <c r="S33" s="514"/>
      <c r="T33" s="514"/>
      <c r="U33" s="495"/>
      <c r="V33" s="514"/>
      <c r="W33" s="514"/>
      <c r="X33" s="495"/>
      <c r="Y33" s="151"/>
    </row>
    <row r="34" spans="2:25" ht="12.75" customHeight="1" x14ac:dyDescent="0.6">
      <c r="B34" s="382" t="s">
        <v>316</v>
      </c>
      <c r="C34" s="327" t="s">
        <v>322</v>
      </c>
      <c r="D34" s="327" t="s">
        <v>331</v>
      </c>
      <c r="E34" s="403">
        <f>E8+E22</f>
        <v>9629.3342512097297</v>
      </c>
      <c r="F34" s="361"/>
      <c r="G34" s="247"/>
      <c r="H34" s="403">
        <f>H8+H22</f>
        <v>82120.140233124926</v>
      </c>
      <c r="I34" s="361"/>
      <c r="J34" s="247"/>
      <c r="K34" s="403">
        <f>K8+K22</f>
        <v>101314.37411323393</v>
      </c>
      <c r="L34" s="361"/>
      <c r="M34" s="390"/>
      <c r="P34" s="485"/>
      <c r="Q34" s="151"/>
      <c r="R34" s="151"/>
      <c r="S34" s="485"/>
      <c r="T34" s="151"/>
      <c r="U34" s="151"/>
      <c r="V34" s="485"/>
      <c r="W34" s="151"/>
      <c r="X34" s="151"/>
      <c r="Y34" s="151"/>
    </row>
    <row r="35" spans="2:25" ht="12.75" customHeight="1" x14ac:dyDescent="0.6">
      <c r="B35" s="382" t="s">
        <v>318</v>
      </c>
      <c r="C35" s="327" t="s">
        <v>323</v>
      </c>
      <c r="D35" s="327" t="s">
        <v>347</v>
      </c>
      <c r="E35" s="404">
        <f>E9+E23</f>
        <v>5604.411427804107</v>
      </c>
      <c r="F35" s="18"/>
      <c r="G35" s="369"/>
      <c r="H35" s="404">
        <f>H9+H23</f>
        <v>33688.87962264863</v>
      </c>
      <c r="I35" s="18"/>
      <c r="J35" s="369"/>
      <c r="K35" s="404">
        <f>K9+K23</f>
        <v>43134.936531855747</v>
      </c>
      <c r="L35" s="18"/>
      <c r="M35" s="377"/>
      <c r="P35" s="485"/>
      <c r="Q35" s="151"/>
      <c r="R35" s="151"/>
      <c r="S35" s="485"/>
      <c r="T35" s="151"/>
      <c r="U35" s="151"/>
      <c r="V35" s="485"/>
      <c r="W35" s="151"/>
      <c r="X35" s="151"/>
      <c r="Y35" s="151"/>
    </row>
    <row r="36" spans="2:25" ht="12.75" customHeight="1" x14ac:dyDescent="0.6">
      <c r="B36" s="382" t="s">
        <v>319</v>
      </c>
      <c r="C36" s="327" t="s">
        <v>323</v>
      </c>
      <c r="D36" s="327" t="s">
        <v>349</v>
      </c>
      <c r="E36" s="404">
        <f>E10+E24</f>
        <v>19248.345236381574</v>
      </c>
      <c r="F36" s="18"/>
      <c r="G36" s="369"/>
      <c r="H36" s="404">
        <f>H10+H24</f>
        <v>13495.418427209024</v>
      </c>
      <c r="I36" s="18"/>
      <c r="J36" s="369"/>
      <c r="K36" s="404">
        <f>K10+K24</f>
        <v>14971.111658747543</v>
      </c>
      <c r="L36" s="18"/>
      <c r="M36" s="377"/>
      <c r="P36" s="485"/>
      <c r="Q36" s="151"/>
      <c r="R36" s="151"/>
      <c r="S36" s="485"/>
      <c r="T36" s="151"/>
      <c r="U36" s="151"/>
      <c r="V36" s="485"/>
      <c r="W36" s="151"/>
      <c r="X36" s="151"/>
      <c r="Y36" s="151"/>
    </row>
    <row r="37" spans="2:25" ht="12.75" customHeight="1" x14ac:dyDescent="0.6">
      <c r="B37" s="380" t="s">
        <v>459</v>
      </c>
      <c r="C37" s="327" t="s">
        <v>332</v>
      </c>
      <c r="D37" s="364" t="s">
        <v>531</v>
      </c>
      <c r="E37" s="404">
        <f>E11</f>
        <v>45541.202502368978</v>
      </c>
      <c r="F37" s="18"/>
      <c r="G37" s="369"/>
      <c r="H37" s="404">
        <f>H11</f>
        <v>-7856.0797521657387</v>
      </c>
      <c r="I37" s="18"/>
      <c r="J37" s="369"/>
      <c r="K37" s="404">
        <f>K11</f>
        <v>65004.480575956455</v>
      </c>
      <c r="L37" s="18"/>
      <c r="M37" s="377"/>
      <c r="O37" s="107"/>
      <c r="P37" s="485"/>
      <c r="Q37" s="151"/>
      <c r="R37" s="151"/>
      <c r="S37" s="485"/>
      <c r="T37" s="151"/>
      <c r="U37" s="151"/>
      <c r="V37" s="485"/>
      <c r="W37" s="151"/>
      <c r="X37" s="151"/>
      <c r="Y37" s="151"/>
    </row>
    <row r="38" spans="2:25" ht="12.75" customHeight="1" x14ac:dyDescent="0.6">
      <c r="B38" s="380" t="s">
        <v>530</v>
      </c>
      <c r="C38" s="327" t="s">
        <v>323</v>
      </c>
      <c r="D38" s="327" t="s">
        <v>46</v>
      </c>
      <c r="E38" s="404">
        <f>E12</f>
        <v>33569.87392608136</v>
      </c>
      <c r="F38" s="18"/>
      <c r="G38" s="369"/>
      <c r="H38" s="404">
        <f>H12</f>
        <v>3957.3368597022636</v>
      </c>
      <c r="I38" s="18"/>
      <c r="J38" s="369"/>
      <c r="K38" s="404">
        <f>K12</f>
        <v>46474.794787781721</v>
      </c>
      <c r="L38" s="18"/>
      <c r="M38" s="377"/>
      <c r="P38" s="485"/>
      <c r="Q38" s="151"/>
      <c r="R38" s="151"/>
      <c r="S38" s="485"/>
      <c r="T38" s="151"/>
      <c r="U38" s="151"/>
      <c r="V38" s="485"/>
      <c r="W38" s="151"/>
      <c r="X38" s="151"/>
      <c r="Y38" s="151"/>
    </row>
    <row r="39" spans="2:25" ht="12.75" customHeight="1" x14ac:dyDescent="0.6">
      <c r="B39" s="380" t="s">
        <v>335</v>
      </c>
      <c r="C39" s="327" t="s">
        <v>332</v>
      </c>
      <c r="D39" s="327" t="s">
        <v>330</v>
      </c>
      <c r="E39" s="404">
        <f>E13+E25</f>
        <v>111003.65164224463</v>
      </c>
      <c r="F39" s="18"/>
      <c r="G39" s="589"/>
      <c r="H39" s="404">
        <f>H13+H25</f>
        <v>714772.0757199839</v>
      </c>
      <c r="I39" s="18"/>
      <c r="J39" s="589"/>
      <c r="K39" s="404">
        <f>K13+K25</f>
        <v>0</v>
      </c>
      <c r="L39" s="18"/>
      <c r="M39" s="377"/>
      <c r="O39" s="588"/>
      <c r="P39" s="485"/>
      <c r="Q39" s="151"/>
      <c r="R39" s="600"/>
      <c r="S39" s="485"/>
      <c r="T39" s="151"/>
      <c r="U39" s="600"/>
      <c r="V39" s="485"/>
      <c r="W39" s="151"/>
      <c r="X39" s="151"/>
      <c r="Y39" s="151"/>
    </row>
    <row r="40" spans="2:25" ht="12.75" customHeight="1" x14ac:dyDescent="0.6">
      <c r="B40" s="383" t="s">
        <v>336</v>
      </c>
      <c r="C40" s="325" t="s">
        <v>322</v>
      </c>
      <c r="D40" s="365" t="s">
        <v>171</v>
      </c>
      <c r="E40" s="405">
        <f>E14+E26</f>
        <v>8635.6346281388123</v>
      </c>
      <c r="F40" s="283"/>
      <c r="G40" s="370"/>
      <c r="H40" s="405">
        <f>H14+H26</f>
        <v>44857.4688855684</v>
      </c>
      <c r="I40" s="283"/>
      <c r="J40" s="370"/>
      <c r="K40" s="405">
        <f>K14+K26</f>
        <v>0</v>
      </c>
      <c r="L40" s="283"/>
      <c r="M40" s="387"/>
      <c r="O40" s="165"/>
      <c r="P40" s="485"/>
      <c r="Q40" s="151"/>
      <c r="R40" s="151"/>
      <c r="S40" s="485"/>
      <c r="T40" s="151"/>
      <c r="U40" s="151"/>
      <c r="V40" s="485"/>
      <c r="W40" s="151"/>
      <c r="X40" s="151"/>
      <c r="Y40" s="151"/>
    </row>
    <row r="41" spans="2:25" ht="12.75" customHeight="1" thickBot="1" x14ac:dyDescent="0.75">
      <c r="B41" s="384"/>
      <c r="C41" s="385"/>
      <c r="D41" s="391" t="s">
        <v>277</v>
      </c>
      <c r="E41" s="411">
        <f>SUM(E34:E40)</f>
        <v>233232.45361422919</v>
      </c>
      <c r="F41" s="410">
        <f>F15+F27</f>
        <v>819360.718361479</v>
      </c>
      <c r="G41" s="400">
        <f>E41/F41</f>
        <v>0.28465173932262344</v>
      </c>
      <c r="H41" s="411">
        <f>SUM(H34:H40)</f>
        <v>885035.23999607144</v>
      </c>
      <c r="I41" s="410">
        <f>I15+I27</f>
        <v>1345165.2707684217</v>
      </c>
      <c r="J41" s="400">
        <f>H41/I41</f>
        <v>0.65793791976988647</v>
      </c>
      <c r="K41" s="411">
        <f>SUM(K34:K40)</f>
        <v>270899.69766757544</v>
      </c>
      <c r="L41" s="410">
        <f>L15+L27</f>
        <v>3425571.8849994801</v>
      </c>
      <c r="M41" s="401">
        <f>K41/L41</f>
        <v>7.9081597689962521E-2</v>
      </c>
      <c r="O41" s="83"/>
      <c r="P41" s="601"/>
      <c r="Q41" s="602"/>
      <c r="R41" s="603"/>
      <c r="S41" s="601"/>
      <c r="T41" s="602"/>
      <c r="U41" s="603"/>
      <c r="V41" s="601"/>
      <c r="W41" s="602"/>
      <c r="X41" s="603"/>
      <c r="Y41" s="484"/>
    </row>
    <row r="42" spans="2:25" ht="5.15" customHeight="1" x14ac:dyDescent="0.6">
      <c r="B42" s="151"/>
      <c r="C42" s="18"/>
      <c r="D42" s="512"/>
      <c r="E42" s="5"/>
      <c r="F42" s="393"/>
      <c r="G42" s="173"/>
      <c r="H42" s="5"/>
      <c r="I42" s="393"/>
      <c r="J42" s="173"/>
      <c r="K42" s="5"/>
      <c r="L42" s="393"/>
      <c r="M42" s="173"/>
      <c r="P42" s="604"/>
      <c r="Q42" s="605"/>
      <c r="R42" s="603"/>
      <c r="S42" s="604"/>
      <c r="T42" s="605"/>
      <c r="U42" s="603"/>
      <c r="V42" s="604"/>
      <c r="W42" s="605"/>
      <c r="X42" s="603"/>
      <c r="Y42" s="151"/>
    </row>
    <row r="43" spans="2:25" ht="12.75" customHeight="1" thickBot="1" x14ac:dyDescent="0.75">
      <c r="B43" s="151"/>
      <c r="C43" s="18"/>
      <c r="D43" s="512"/>
      <c r="E43" s="5"/>
      <c r="F43" s="393"/>
      <c r="G43" s="173"/>
      <c r="H43" s="5"/>
      <c r="I43" s="393"/>
      <c r="J43" s="173"/>
      <c r="K43" s="5"/>
      <c r="L43" s="393"/>
      <c r="M43" s="173"/>
      <c r="P43" s="604"/>
      <c r="Q43" s="605"/>
      <c r="R43" s="603"/>
      <c r="S43" s="604"/>
      <c r="T43" s="605"/>
      <c r="U43" s="603"/>
      <c r="V43" s="604"/>
      <c r="W43" s="605"/>
      <c r="X43" s="603"/>
      <c r="Y43" s="151"/>
    </row>
    <row r="44" spans="2:25" ht="15.5" x14ac:dyDescent="0.7">
      <c r="B44" s="373" t="s">
        <v>333</v>
      </c>
      <c r="C44" s="375"/>
      <c r="D44" s="375"/>
      <c r="E44" s="521" t="s">
        <v>533</v>
      </c>
      <c r="F44" s="522"/>
      <c r="G44" s="523"/>
      <c r="H44" s="521" t="s">
        <v>534</v>
      </c>
      <c r="I44" s="522"/>
      <c r="J44" s="523"/>
      <c r="K44" s="521" t="s">
        <v>102</v>
      </c>
      <c r="L44" s="524"/>
      <c r="M44" s="525"/>
      <c r="O44" s="598"/>
      <c r="P44" s="606"/>
      <c r="Q44" s="607"/>
      <c r="R44" s="607"/>
      <c r="S44" s="606"/>
      <c r="T44" s="607"/>
      <c r="U44" s="607"/>
      <c r="V44" s="606"/>
      <c r="W44" s="606"/>
      <c r="X44" s="606"/>
      <c r="Y44" s="151"/>
    </row>
    <row r="45" spans="2:25" ht="12.75" customHeight="1" x14ac:dyDescent="0.6">
      <c r="B45" s="381"/>
      <c r="C45" s="18"/>
      <c r="D45" s="18"/>
      <c r="E45" s="371" t="s">
        <v>324</v>
      </c>
      <c r="F45" s="392" t="s">
        <v>103</v>
      </c>
      <c r="G45" s="372" t="s">
        <v>329</v>
      </c>
      <c r="H45" s="371" t="s">
        <v>324</v>
      </c>
      <c r="I45" s="392" t="s">
        <v>103</v>
      </c>
      <c r="J45" s="372" t="s">
        <v>329</v>
      </c>
      <c r="K45" s="371" t="s">
        <v>324</v>
      </c>
      <c r="L45" s="392" t="s">
        <v>103</v>
      </c>
      <c r="M45" s="398" t="s">
        <v>329</v>
      </c>
      <c r="N45" s="234"/>
      <c r="O45" s="221"/>
      <c r="P45" s="495"/>
      <c r="Q45" s="495"/>
      <c r="R45" s="495"/>
      <c r="S45" s="495"/>
      <c r="T45" s="495"/>
      <c r="U45" s="495"/>
      <c r="V45" s="495"/>
      <c r="W45" s="495"/>
      <c r="X45" s="495"/>
      <c r="Y45" s="151"/>
    </row>
    <row r="46" spans="2:25" ht="12.75" customHeight="1" x14ac:dyDescent="0.6">
      <c r="B46" s="381"/>
      <c r="C46" s="18"/>
      <c r="D46" s="18"/>
      <c r="E46" s="516" t="s">
        <v>325</v>
      </c>
      <c r="F46" s="514" t="s">
        <v>326</v>
      </c>
      <c r="G46" s="517" t="s">
        <v>324</v>
      </c>
      <c r="H46" s="516" t="s">
        <v>325</v>
      </c>
      <c r="I46" s="514" t="s">
        <v>326</v>
      </c>
      <c r="J46" s="517" t="s">
        <v>324</v>
      </c>
      <c r="K46" s="516" t="s">
        <v>325</v>
      </c>
      <c r="L46" s="514" t="s">
        <v>326</v>
      </c>
      <c r="M46" s="526" t="s">
        <v>324</v>
      </c>
      <c r="N46" s="328"/>
      <c r="O46" s="495"/>
      <c r="P46" s="514"/>
      <c r="Q46" s="514"/>
      <c r="R46" s="495"/>
      <c r="S46" s="514"/>
      <c r="T46" s="514"/>
      <c r="U46" s="495"/>
      <c r="V46" s="514"/>
      <c r="W46" s="514"/>
      <c r="X46" s="495"/>
      <c r="Y46" s="151"/>
    </row>
    <row r="47" spans="2:25" ht="12.75" customHeight="1" x14ac:dyDescent="0.6">
      <c r="B47" s="386" t="s">
        <v>567</v>
      </c>
      <c r="C47" s="283"/>
      <c r="D47" s="513" t="s">
        <v>277</v>
      </c>
      <c r="E47" s="405">
        <f>'Table 3.13-COA Costs'!L79</f>
        <v>85710.158495142154</v>
      </c>
      <c r="F47" s="10">
        <f>'Table 3.13-COA Costs'!D79</f>
        <v>35950.962</v>
      </c>
      <c r="G47" s="468">
        <f>E47/F47</f>
        <v>2.3840852574443532</v>
      </c>
      <c r="H47" s="405">
        <v>0</v>
      </c>
      <c r="I47" s="10">
        <v>0</v>
      </c>
      <c r="J47" s="468">
        <v>0</v>
      </c>
      <c r="K47" s="405">
        <f>E47+H47</f>
        <v>85710.158495142154</v>
      </c>
      <c r="L47" s="10">
        <f>F47+I47</f>
        <v>35950.962</v>
      </c>
      <c r="M47" s="527">
        <f>G47+J47</f>
        <v>2.3840852574443532</v>
      </c>
      <c r="O47" s="173"/>
      <c r="P47" s="485"/>
      <c r="Q47" s="492"/>
      <c r="R47" s="488"/>
      <c r="S47" s="485"/>
      <c r="T47" s="492"/>
      <c r="U47" s="488"/>
      <c r="V47" s="485"/>
      <c r="W47" s="492"/>
      <c r="X47" s="603"/>
      <c r="Y47" s="484"/>
    </row>
    <row r="48" spans="2:25" ht="5.15" customHeight="1" x14ac:dyDescent="0.6">
      <c r="B48" s="381"/>
      <c r="C48" s="18"/>
      <c r="D48" s="18"/>
      <c r="E48" s="368"/>
      <c r="F48" s="361"/>
      <c r="G48" s="519"/>
      <c r="H48" s="368"/>
      <c r="I48" s="361"/>
      <c r="J48" s="247"/>
      <c r="K48" s="368"/>
      <c r="L48" s="361"/>
      <c r="M48" s="390"/>
      <c r="O48" s="18"/>
      <c r="P48" s="151"/>
      <c r="Q48" s="151"/>
      <c r="R48" s="66"/>
      <c r="S48" s="151"/>
      <c r="T48" s="151"/>
      <c r="U48" s="151"/>
      <c r="V48" s="151"/>
      <c r="W48" s="151"/>
      <c r="X48" s="151"/>
      <c r="Y48" s="151"/>
    </row>
    <row r="49" spans="2:25" ht="12.75" customHeight="1" x14ac:dyDescent="0.6">
      <c r="B49" s="378" t="s">
        <v>768</v>
      </c>
      <c r="C49" s="18"/>
      <c r="D49" s="18"/>
      <c r="E49" s="363"/>
      <c r="F49" s="18"/>
      <c r="G49" s="520"/>
      <c r="H49" s="363"/>
      <c r="I49" s="18"/>
      <c r="J49" s="369"/>
      <c r="K49" s="363"/>
      <c r="L49" s="18"/>
      <c r="M49" s="377"/>
      <c r="O49" s="18"/>
      <c r="P49" s="151"/>
      <c r="Q49" s="151"/>
      <c r="R49" s="66"/>
      <c r="S49" s="151"/>
      <c r="T49" s="151"/>
      <c r="U49" s="151"/>
      <c r="V49" s="151"/>
      <c r="W49" s="151"/>
      <c r="X49" s="151"/>
      <c r="Y49" s="151"/>
    </row>
    <row r="50" spans="2:25" x14ac:dyDescent="0.6">
      <c r="B50" s="425" t="s">
        <v>769</v>
      </c>
      <c r="C50" s="18"/>
      <c r="D50" s="18"/>
      <c r="E50" s="404">
        <f>SUM('Table 3.25-REC Summary'!L8:L10)+'Table 3.19-CFS UAA'!J47</f>
        <v>13654.827189516105</v>
      </c>
      <c r="F50" s="324">
        <f>SUM('Table 3.23-CIOSS Summary'!C8:C10)</f>
        <v>248672.068</v>
      </c>
      <c r="G50" s="518">
        <f>E50/F50</f>
        <v>5.4910980953100472E-2</v>
      </c>
      <c r="H50" s="404">
        <f>'Table 3.19-CFS UAA'!J16</f>
        <v>26851.262687825685</v>
      </c>
      <c r="I50" s="324">
        <f>'Table 3.19-CFS UAA'!B16</f>
        <v>51531.202644388271</v>
      </c>
      <c r="J50" s="518">
        <f>H50/I50</f>
        <v>0.52106803858476958</v>
      </c>
      <c r="K50" s="404">
        <f t="shared" ref="K50:L52" si="0">E50+H50</f>
        <v>40506.089877341787</v>
      </c>
      <c r="L50" s="324">
        <f t="shared" si="0"/>
        <v>300203.27064438828</v>
      </c>
      <c r="M50" s="528">
        <f>K50/L50</f>
        <v>0.13492887599257397</v>
      </c>
      <c r="O50" s="83"/>
      <c r="P50" s="485"/>
      <c r="Q50" s="492"/>
      <c r="R50" s="488"/>
      <c r="S50" s="485"/>
      <c r="T50" s="492"/>
      <c r="U50" s="488"/>
      <c r="V50" s="485"/>
      <c r="W50" s="492"/>
      <c r="X50" s="488"/>
      <c r="Y50" s="151"/>
    </row>
    <row r="51" spans="2:25" x14ac:dyDescent="0.6">
      <c r="B51" s="425" t="s">
        <v>770</v>
      </c>
      <c r="C51" s="18"/>
      <c r="D51" s="18"/>
      <c r="E51" s="404">
        <f>SUM('Table 3.25-REC Summary'!L12:L13)+'Table 3.19-CFS UAA'!J60</f>
        <v>19479.62617134599</v>
      </c>
      <c r="F51" s="324">
        <f>SUM('Table 3.23-CIOSS Summary'!C12:C13)</f>
        <v>369215.66517448169</v>
      </c>
      <c r="G51" s="518">
        <f>E51/F51</f>
        <v>5.2759479103196845E-2</v>
      </c>
      <c r="H51" s="404">
        <f>'Table 3.19-CFS UAA'!J29</f>
        <v>16597.793856335851</v>
      </c>
      <c r="I51" s="324">
        <f>'Table 3.19-CFS UAA'!B29</f>
        <v>39684.09069886541</v>
      </c>
      <c r="J51" s="518">
        <f>H51/I51</f>
        <v>0.41824805769860796</v>
      </c>
      <c r="K51" s="404">
        <f t="shared" si="0"/>
        <v>36077.420027681845</v>
      </c>
      <c r="L51" s="324">
        <f t="shared" si="0"/>
        <v>408899.75587334711</v>
      </c>
      <c r="M51" s="528">
        <f>K51/L51</f>
        <v>8.8230475830502794E-2</v>
      </c>
      <c r="O51" s="83"/>
      <c r="P51" s="485"/>
      <c r="Q51" s="492"/>
      <c r="R51" s="488"/>
      <c r="S51" s="485"/>
      <c r="T51" s="492"/>
      <c r="U51" s="488"/>
      <c r="V51" s="485"/>
      <c r="W51" s="492"/>
      <c r="X51" s="488"/>
      <c r="Y51" s="151"/>
    </row>
    <row r="52" spans="2:25" x14ac:dyDescent="0.6">
      <c r="B52" s="426" t="s">
        <v>771</v>
      </c>
      <c r="C52" s="283"/>
      <c r="D52" s="370"/>
      <c r="E52" s="405">
        <v>0</v>
      </c>
      <c r="F52" s="10">
        <f>SUM('Table 3.18-Nixie UAA'!D10:D11)+SUM('Table 3.24-CIOSS Detail'!E15:E16)</f>
        <v>369215.66517448169</v>
      </c>
      <c r="G52" s="468">
        <v>0</v>
      </c>
      <c r="H52" s="405">
        <f>SUM('Table 3.18-Nixie UAA'!I26:I27)</f>
        <v>14324.905436620982</v>
      </c>
      <c r="I52" s="10">
        <f>SUM('Table 3.18-Nixie UAA'!D26:D27)</f>
        <v>39684.090698865402</v>
      </c>
      <c r="J52" s="468">
        <f>H52/I52</f>
        <v>0.36097350813258122</v>
      </c>
      <c r="K52" s="405">
        <f t="shared" si="0"/>
        <v>14324.905436620982</v>
      </c>
      <c r="L52" s="10">
        <f t="shared" si="0"/>
        <v>408899.75587334711</v>
      </c>
      <c r="M52" s="535">
        <f>K52/L52</f>
        <v>3.5032805060069512E-2</v>
      </c>
      <c r="O52" s="83"/>
      <c r="P52" s="485"/>
      <c r="Q52" s="492"/>
      <c r="R52" s="488"/>
      <c r="S52" s="485"/>
      <c r="T52" s="492"/>
      <c r="U52" s="488"/>
      <c r="V52" s="485"/>
      <c r="W52" s="492"/>
      <c r="X52" s="488"/>
      <c r="Y52" s="151"/>
    </row>
    <row r="53" spans="2:25" x14ac:dyDescent="0.6">
      <c r="B53" s="381"/>
      <c r="C53" s="18"/>
      <c r="D53" s="512" t="s">
        <v>277</v>
      </c>
      <c r="E53" s="412">
        <f>SUM(E50:E52)</f>
        <v>33134.453360862099</v>
      </c>
      <c r="F53" s="282">
        <f>SUM(F50:F51)</f>
        <v>617887.73317448166</v>
      </c>
      <c r="G53" s="468">
        <f>E53/F53</f>
        <v>5.3625361990323667E-2</v>
      </c>
      <c r="H53" s="412">
        <f>SUM(H50:H52)</f>
        <v>57773.961980782515</v>
      </c>
      <c r="I53" s="282">
        <f>SUM(I50:I51)</f>
        <v>91215.293343253681</v>
      </c>
      <c r="J53" s="468">
        <f>H53/I53</f>
        <v>0.63338021359392471</v>
      </c>
      <c r="K53" s="405">
        <f>SUM(K50:K52)</f>
        <v>90908.415341644606</v>
      </c>
      <c r="L53" s="10">
        <f>SUM(L50:L51)</f>
        <v>709103.02651773533</v>
      </c>
      <c r="M53" s="527">
        <f>K53/L53</f>
        <v>0.12820198467926142</v>
      </c>
      <c r="O53" s="173"/>
      <c r="P53" s="601"/>
      <c r="Q53" s="602"/>
      <c r="R53" s="488"/>
      <c r="S53" s="601"/>
      <c r="T53" s="602"/>
      <c r="U53" s="488"/>
      <c r="V53" s="485"/>
      <c r="W53" s="492"/>
      <c r="X53" s="603"/>
      <c r="Y53" s="484"/>
    </row>
    <row r="54" spans="2:25" ht="5.15" customHeight="1" x14ac:dyDescent="0.6">
      <c r="B54" s="406"/>
      <c r="C54" s="361"/>
      <c r="D54" s="361"/>
      <c r="E54" s="368"/>
      <c r="F54" s="361"/>
      <c r="G54" s="247"/>
      <c r="H54" s="368"/>
      <c r="I54" s="361"/>
      <c r="J54" s="247"/>
      <c r="K54" s="368"/>
      <c r="L54" s="361"/>
      <c r="M54" s="390"/>
      <c r="O54" s="18"/>
      <c r="P54" s="151"/>
      <c r="Q54" s="151"/>
      <c r="R54" s="151"/>
      <c r="S54" s="151"/>
      <c r="T54" s="151"/>
      <c r="U54" s="151"/>
      <c r="V54" s="151"/>
      <c r="W54" s="151"/>
      <c r="X54" s="151"/>
      <c r="Y54" s="151"/>
    </row>
    <row r="55" spans="2:25" x14ac:dyDescent="0.6">
      <c r="B55" s="378" t="s">
        <v>772</v>
      </c>
      <c r="C55" s="18"/>
      <c r="D55" s="18"/>
      <c r="E55" s="363"/>
      <c r="F55" s="18"/>
      <c r="G55" s="369"/>
      <c r="H55" s="363"/>
      <c r="I55" s="18"/>
      <c r="J55" s="369"/>
      <c r="K55" s="363"/>
      <c r="L55" s="18"/>
      <c r="M55" s="377"/>
      <c r="O55" s="18"/>
      <c r="P55" s="151"/>
      <c r="Q55" s="151"/>
      <c r="R55" s="151"/>
      <c r="S55" s="151"/>
      <c r="T55" s="151"/>
      <c r="U55" s="151"/>
      <c r="V55" s="151"/>
      <c r="W55" s="151"/>
      <c r="X55" s="151"/>
      <c r="Y55" s="151"/>
    </row>
    <row r="56" spans="2:25" x14ac:dyDescent="0.6">
      <c r="B56" s="388" t="s">
        <v>327</v>
      </c>
      <c r="C56" s="18"/>
      <c r="D56" s="18"/>
      <c r="E56" s="404">
        <f>F56*G56</f>
        <v>37731.291090361738</v>
      </c>
      <c r="F56" s="324">
        <f>SUM('Table 3.11-Form3547 Costs'!H6,'Table 3.11-Form3547 Costs'!H13,'Table 3.11-Form3547 Costs'!H19)</f>
        <v>56243.401912044967</v>
      </c>
      <c r="G56" s="518">
        <f>'Table 3.11-Form3547 Costs'!P21</f>
        <v>0.67085719938077371</v>
      </c>
      <c r="H56" s="404">
        <f>I56*J56</f>
        <v>11914.300787421362</v>
      </c>
      <c r="I56" s="324">
        <f>SUM('Table 3.11-Form3547 Costs'!H28:H29,'Table 3.11-Form3547 Costs'!H36:H37,'Table 3.11-Form3547 Costs'!H43)</f>
        <v>7755.2880688483483</v>
      </c>
      <c r="J56" s="518">
        <f>'Table 3.11-Form3547 Costs'!P45</f>
        <v>1.5362808810776545</v>
      </c>
      <c r="K56" s="404">
        <f>E56+H56</f>
        <v>49645.591877783096</v>
      </c>
      <c r="L56" s="324">
        <f>F56+I56</f>
        <v>63998.689980893316</v>
      </c>
      <c r="M56" s="528">
        <f>K56/L56</f>
        <v>0.77572825150959634</v>
      </c>
      <c r="O56" s="83"/>
      <c r="P56" s="485"/>
      <c r="Q56" s="492"/>
      <c r="R56" s="488"/>
      <c r="S56" s="485"/>
      <c r="T56" s="492"/>
      <c r="U56" s="488"/>
      <c r="V56" s="485"/>
      <c r="W56" s="492"/>
      <c r="X56" s="488"/>
      <c r="Y56" s="151"/>
    </row>
    <row r="57" spans="2:25" x14ac:dyDescent="0.6">
      <c r="B57" s="389" t="s">
        <v>328</v>
      </c>
      <c r="C57" s="283"/>
      <c r="D57" s="370"/>
      <c r="E57" s="405">
        <v>0</v>
      </c>
      <c r="F57" s="10">
        <v>0</v>
      </c>
      <c r="G57" s="468">
        <v>0</v>
      </c>
      <c r="H57" s="405">
        <f>I57*J57</f>
        <v>14753.961812866053</v>
      </c>
      <c r="I57" s="10">
        <f>SUM('Table 3.12-Form3579 Costs'!H7:H8)</f>
        <v>12940.425966181116</v>
      </c>
      <c r="J57" s="468">
        <f>'Table 3.12-Form3579 Costs'!P12</f>
        <v>1.1401449883817183</v>
      </c>
      <c r="K57" s="405">
        <f>E57+H57</f>
        <v>14753.961812866053</v>
      </c>
      <c r="L57" s="10">
        <f>F57+I57</f>
        <v>12940.425966181116</v>
      </c>
      <c r="M57" s="535">
        <f>K57/L57</f>
        <v>1.1401449883817183</v>
      </c>
      <c r="O57" s="83"/>
      <c r="P57" s="485"/>
      <c r="Q57" s="492"/>
      <c r="R57" s="488"/>
      <c r="S57" s="485"/>
      <c r="T57" s="492"/>
      <c r="U57" s="488"/>
      <c r="V57" s="485"/>
      <c r="W57" s="492"/>
      <c r="X57" s="488"/>
      <c r="Y57" s="151"/>
    </row>
    <row r="58" spans="2:25" ht="13.75" thickBot="1" x14ac:dyDescent="0.75">
      <c r="B58" s="384"/>
      <c r="C58" s="385"/>
      <c r="D58" s="391" t="s">
        <v>277</v>
      </c>
      <c r="E58" s="529">
        <f>SUM(E56:E57)</f>
        <v>37731.291090361738</v>
      </c>
      <c r="F58" s="530">
        <f>SUM(F56:F57)</f>
        <v>56243.401912044967</v>
      </c>
      <c r="G58" s="531">
        <f>E58/F58</f>
        <v>0.67085719938077371</v>
      </c>
      <c r="H58" s="529">
        <f>SUM(H56:H57)</f>
        <v>26668.262600287417</v>
      </c>
      <c r="I58" s="530">
        <f>SUM(I56:I57)</f>
        <v>20695.714035029465</v>
      </c>
      <c r="J58" s="531">
        <f>H58/I58</f>
        <v>1.2885886688977652</v>
      </c>
      <c r="K58" s="532">
        <f>SUM(K56:K57)</f>
        <v>64399.553690649147</v>
      </c>
      <c r="L58" s="533">
        <f>SUM(L56:L57)</f>
        <v>76939.115947074431</v>
      </c>
      <c r="M58" s="534">
        <f>K58/L58</f>
        <v>0.83701967325630422</v>
      </c>
      <c r="O58" s="173"/>
      <c r="P58" s="601"/>
      <c r="Q58" s="602"/>
      <c r="R58" s="488"/>
      <c r="S58" s="601"/>
      <c r="T58" s="602"/>
      <c r="U58" s="488"/>
      <c r="V58" s="485"/>
      <c r="W58" s="492"/>
      <c r="X58" s="603"/>
      <c r="Y58" s="484"/>
    </row>
    <row r="59" spans="2:25" ht="5.15" customHeight="1" thickBot="1" x14ac:dyDescent="0.75">
      <c r="P59" s="151"/>
      <c r="Q59" s="151"/>
      <c r="R59" s="151"/>
      <c r="S59" s="151"/>
      <c r="T59" s="151"/>
      <c r="U59" s="151"/>
      <c r="V59" s="151"/>
      <c r="W59" s="151"/>
      <c r="X59" s="151"/>
      <c r="Y59" s="151"/>
    </row>
    <row r="60" spans="2:25" ht="12.75" customHeight="1" thickBot="1" x14ac:dyDescent="0.75">
      <c r="C60" s="539"/>
      <c r="D60" s="540" t="s">
        <v>538</v>
      </c>
      <c r="E60" s="541">
        <f>SUM(E15,H15,K15)+SUM(E47,E53,E58)</f>
        <v>1062518.260623272</v>
      </c>
      <c r="F60" s="542"/>
      <c r="G60" s="542"/>
      <c r="H60" s="541">
        <f>SUM(E27,H27,K27)+SUM(H47,H53,H58)</f>
        <v>567667.25818203983</v>
      </c>
      <c r="I60" s="542"/>
      <c r="J60" s="542"/>
      <c r="K60" s="541">
        <f>E60+H60</f>
        <v>1630185.518805312</v>
      </c>
      <c r="L60" s="542"/>
      <c r="M60" s="543"/>
      <c r="O60" s="588"/>
      <c r="P60" s="601"/>
      <c r="Q60" s="151"/>
      <c r="R60" s="151"/>
      <c r="S60" s="601"/>
      <c r="T60" s="151"/>
      <c r="U60" s="151"/>
      <c r="V60" s="601"/>
      <c r="W60" s="151"/>
      <c r="X60" s="151"/>
      <c r="Y60" s="484"/>
    </row>
    <row r="61" spans="2:25" ht="12.75" hidden="1" customHeight="1" x14ac:dyDescent="0.6">
      <c r="D61" s="332"/>
      <c r="E61" s="53"/>
      <c r="F61" s="6"/>
      <c r="G61" s="6"/>
      <c r="H61" s="6"/>
      <c r="I61" s="6"/>
      <c r="J61" s="6"/>
      <c r="K61" s="6"/>
      <c r="L61" s="6"/>
      <c r="P61" s="151"/>
      <c r="Q61" s="151"/>
      <c r="R61" s="151"/>
      <c r="S61" s="151"/>
      <c r="T61" s="151"/>
      <c r="U61" s="151"/>
      <c r="V61" s="151"/>
      <c r="W61" s="151"/>
      <c r="X61" s="151"/>
      <c r="Y61" s="151"/>
    </row>
    <row r="62" spans="2:25" hidden="1" x14ac:dyDescent="0.6">
      <c r="D62" s="332"/>
      <c r="E62" s="52"/>
      <c r="P62" s="151"/>
      <c r="Q62" s="151"/>
      <c r="R62" s="151"/>
      <c r="S62" s="151"/>
      <c r="T62" s="151"/>
      <c r="U62" s="151"/>
      <c r="V62" s="151"/>
      <c r="W62" s="151"/>
      <c r="X62" s="151"/>
      <c r="Y62" s="151"/>
    </row>
    <row r="63" spans="2:25" hidden="1" x14ac:dyDescent="0.6">
      <c r="D63" s="428" t="s">
        <v>191</v>
      </c>
      <c r="E63" s="138">
        <f>E15-'Table 3.3-PARS Fwd Summary'!F29</f>
        <v>0</v>
      </c>
      <c r="F63" s="138">
        <f>F15-'Table 3.3-PARS Fwd Summary'!B29</f>
        <v>0</v>
      </c>
      <c r="G63" s="352"/>
      <c r="H63" s="138">
        <f>H15-'Table 3.6-PARS RTS Summary'!F68</f>
        <v>0</v>
      </c>
      <c r="I63" s="138">
        <f>I15-'Table 3.6-PARS RTS Summary'!B68</f>
        <v>0</v>
      </c>
      <c r="J63" s="352"/>
      <c r="K63" s="138">
        <f>K15-'Table 3.9-PARS Wst Summary'!F48</f>
        <v>0</v>
      </c>
      <c r="L63" s="138">
        <f>L15-'Table 3.9-PARS Wst Summary'!B48</f>
        <v>0</v>
      </c>
      <c r="M63" s="352"/>
      <c r="P63" s="151"/>
      <c r="Q63" s="151"/>
      <c r="R63" s="151"/>
      <c r="S63" s="151"/>
      <c r="T63" s="151"/>
      <c r="U63" s="151"/>
      <c r="V63" s="151"/>
      <c r="W63" s="151"/>
      <c r="X63" s="151"/>
      <c r="Y63" s="151"/>
    </row>
    <row r="64" spans="2:25" hidden="1" x14ac:dyDescent="0.6">
      <c r="D64" s="428"/>
      <c r="E64" s="138">
        <f>E27-'Table 3.4-NonPARS Fwd Summary'!F24</f>
        <v>0</v>
      </c>
      <c r="F64" s="138">
        <f>F27-'Table 3.4-NonPARS Fwd Summary'!B24</f>
        <v>0</v>
      </c>
      <c r="G64" s="352"/>
      <c r="H64" s="138">
        <f>H27-'Table 3.7-NonPARS RTS Summary'!F29</f>
        <v>0</v>
      </c>
      <c r="I64" s="138">
        <f>I27-'Table 3.7-NonPARS RTS Summary'!B29</f>
        <v>0</v>
      </c>
      <c r="J64" s="352"/>
      <c r="K64" s="138">
        <f>K27-'Table 3.10-NonPARS Wst Summary'!F20</f>
        <v>0</v>
      </c>
      <c r="L64" s="138">
        <f>L27-'Table 3.10-NonPARS Wst Summary'!B20</f>
        <v>0</v>
      </c>
      <c r="M64" s="352"/>
      <c r="P64" s="151"/>
      <c r="Q64" s="151"/>
      <c r="R64" s="151"/>
      <c r="S64" s="151"/>
      <c r="T64" s="151"/>
      <c r="U64" s="151"/>
      <c r="V64" s="151"/>
      <c r="W64" s="151"/>
      <c r="X64" s="151"/>
      <c r="Y64" s="151"/>
    </row>
    <row r="65" spans="2:25" hidden="1" x14ac:dyDescent="0.6">
      <c r="D65" s="48"/>
      <c r="E65" s="138">
        <v>0</v>
      </c>
      <c r="F65" s="138">
        <v>0</v>
      </c>
      <c r="G65" s="138">
        <v>0</v>
      </c>
      <c r="H65" s="138">
        <f>G47-'Table 3.13-COA Costs'!N79</f>
        <v>0</v>
      </c>
      <c r="I65" s="138">
        <f>G50-'Table 3.43-Elec Notice'!L15</f>
        <v>0</v>
      </c>
      <c r="J65" s="138">
        <f>J50-'Table 3.43-Elec Notice'!R15</f>
        <v>0</v>
      </c>
      <c r="K65" s="138">
        <f>M50-'Table 3.43-Elec Notice'!F15</f>
        <v>0</v>
      </c>
      <c r="L65" s="138">
        <f>G51-'Table 3.43-Elec Notice'!L27</f>
        <v>0</v>
      </c>
      <c r="M65" s="138">
        <f>SUM(H51:H52)/I51-'Table 3.43-Elec Notice'!R27</f>
        <v>0</v>
      </c>
      <c r="N65" s="138">
        <f>SUM(K51:K52)/L51-'Table 3.43-Elec Notice'!F27</f>
        <v>0</v>
      </c>
      <c r="P65" s="151"/>
      <c r="Q65" s="151"/>
      <c r="R65" s="151"/>
      <c r="S65" s="151"/>
      <c r="T65" s="151"/>
      <c r="U65" s="151"/>
      <c r="V65" s="151"/>
      <c r="W65" s="151"/>
      <c r="X65" s="151"/>
      <c r="Y65" s="151"/>
    </row>
    <row r="66" spans="2:25" hidden="1" x14ac:dyDescent="0.6">
      <c r="D66" s="48"/>
      <c r="E66" s="352"/>
      <c r="F66" s="352"/>
      <c r="G66" s="352"/>
      <c r="H66" s="138">
        <f>M56-'Table 3.41-Man Notice'!F25</f>
        <v>0</v>
      </c>
      <c r="I66" s="138">
        <f>M57-'Table 3.41-Man Notice'!F33</f>
        <v>0</v>
      </c>
      <c r="J66" s="138">
        <f>M58-'Table 3.41-Man Notice'!F35</f>
        <v>0</v>
      </c>
      <c r="K66" s="27"/>
      <c r="L66" s="352"/>
      <c r="M66" s="352"/>
      <c r="N66" s="27"/>
      <c r="P66" s="151"/>
      <c r="Q66" s="151"/>
      <c r="R66" s="151"/>
      <c r="S66" s="151"/>
      <c r="T66" s="151"/>
      <c r="U66" s="151"/>
      <c r="V66" s="151"/>
      <c r="W66" s="151"/>
      <c r="X66" s="151"/>
      <c r="Y66" s="151"/>
    </row>
    <row r="67" spans="2:25" hidden="1" x14ac:dyDescent="0.6">
      <c r="D67" s="48"/>
      <c r="E67" s="352"/>
      <c r="F67" s="352"/>
      <c r="G67" s="352"/>
      <c r="H67" s="352"/>
      <c r="I67" s="352"/>
      <c r="J67" s="352"/>
      <c r="K67" s="352"/>
      <c r="L67" s="352"/>
      <c r="M67" s="352"/>
      <c r="P67" s="151"/>
      <c r="Q67" s="151"/>
      <c r="R67" s="151"/>
      <c r="S67" s="151"/>
      <c r="T67" s="151"/>
      <c r="U67" s="151"/>
      <c r="V67" s="151"/>
      <c r="W67" s="151"/>
      <c r="X67" s="151"/>
      <c r="Y67" s="151"/>
    </row>
    <row r="68" spans="2:25" hidden="1" x14ac:dyDescent="0.6">
      <c r="D68" s="48"/>
      <c r="E68" s="352"/>
      <c r="F68" s="352"/>
      <c r="G68" s="352"/>
      <c r="H68" s="352"/>
      <c r="I68" s="352"/>
      <c r="J68" s="352"/>
      <c r="K68" s="352"/>
      <c r="L68" s="352"/>
      <c r="M68" s="352"/>
      <c r="P68" s="151"/>
      <c r="Q68" s="151"/>
      <c r="R68" s="151"/>
      <c r="S68" s="151"/>
      <c r="T68" s="151"/>
      <c r="U68" s="151"/>
      <c r="V68" s="151"/>
      <c r="W68" s="151"/>
      <c r="X68" s="151"/>
      <c r="Y68" s="151"/>
    </row>
    <row r="69" spans="2:25" hidden="1" x14ac:dyDescent="0.6">
      <c r="F69" s="27"/>
      <c r="G69" s="342" t="s">
        <v>351</v>
      </c>
      <c r="H69" s="32">
        <f>SUM('Table 3.2-Total Fwd Summary'!F34,'Table 3.5-Total RTS Summary'!F38,'Table 3.8-Total Wst Summary'!F19)</f>
        <v>1389167.391277876</v>
      </c>
      <c r="I69" s="32">
        <f>SUM(E41,H41,K41)</f>
        <v>1389167.391277876</v>
      </c>
      <c r="J69" s="138">
        <f t="shared" ref="J69:J74" si="1">H69-I69</f>
        <v>0</v>
      </c>
      <c r="K69" s="352"/>
      <c r="L69" s="352"/>
      <c r="M69" s="482" t="s">
        <v>311</v>
      </c>
      <c r="N69" s="6">
        <f>SUM('Table 3.14-Route UAA'!J103,'Table 3.14-Route UAA'!J109,'Table 3.14-Route UAA'!J111)</f>
        <v>193063.84859756858</v>
      </c>
      <c r="O69" s="6">
        <f t="shared" ref="O69:O75" si="2">E34+H34+K34</f>
        <v>193063.84859756858</v>
      </c>
      <c r="P69" s="515"/>
      <c r="Q69" s="151"/>
      <c r="R69" s="151"/>
      <c r="S69" s="151"/>
      <c r="T69" s="151"/>
      <c r="U69" s="151"/>
      <c r="V69" s="151"/>
      <c r="W69" s="151"/>
      <c r="X69" s="151"/>
      <c r="Y69" s="151"/>
    </row>
    <row r="70" spans="2:25" hidden="1" x14ac:dyDescent="0.6">
      <c r="F70" s="27"/>
      <c r="G70" s="342" t="s">
        <v>352</v>
      </c>
      <c r="H70" s="32">
        <f>'Table 3.13-COA Costs'!D79*'Table 3.13-COA Costs'!N79</f>
        <v>85710.158495142154</v>
      </c>
      <c r="I70" s="32">
        <f>K47</f>
        <v>85710.158495142154</v>
      </c>
      <c r="J70" s="138">
        <f t="shared" si="1"/>
        <v>0</v>
      </c>
      <c r="K70" s="352"/>
      <c r="L70" s="352"/>
      <c r="M70" s="46" t="s">
        <v>312</v>
      </c>
      <c r="N70" s="6">
        <f>'Table 3.18-Nixie UAA'!I40+'Table 3.31-Rating Post Due'!H27-SUM('Table 3.18-Nixie UAA'!I26:I27)</f>
        <v>82428.227582308464</v>
      </c>
      <c r="O70" s="6">
        <f t="shared" si="2"/>
        <v>82428.227582308493</v>
      </c>
      <c r="P70" s="515"/>
      <c r="Q70" s="151"/>
      <c r="R70" s="151"/>
      <c r="S70" s="151"/>
      <c r="T70" s="151"/>
      <c r="U70" s="151"/>
      <c r="V70" s="151"/>
      <c r="W70" s="151"/>
      <c r="X70" s="151"/>
      <c r="Y70" s="151"/>
    </row>
    <row r="71" spans="2:25" hidden="1" x14ac:dyDescent="0.6">
      <c r="F71" s="27"/>
      <c r="G71" s="347" t="s">
        <v>774</v>
      </c>
      <c r="H71" s="32">
        <f>SUM('Table 3.27-REC Detail ACS'!K49:K50)+SUM('Table 3.19-CFS UAA'!J16,'Table 3.19-CFS UAA'!J29,'Table 3.19-CFS UAA'!J47,'Table 3.19-CFS UAA'!J60)+SUM('Table 3.18-Nixie UAA'!I26:I27)</f>
        <v>90908.415341644606</v>
      </c>
      <c r="I71" s="32">
        <f>K53</f>
        <v>90908.415341644606</v>
      </c>
      <c r="J71" s="138">
        <f t="shared" si="1"/>
        <v>0</v>
      </c>
      <c r="K71" s="352"/>
      <c r="L71" s="352"/>
      <c r="M71" s="46" t="s">
        <v>313</v>
      </c>
      <c r="N71" s="6">
        <f>SUM('Table 3.19-CFS UAA'!J77,'Table 3.19-CFS UAA'!J90)+SUM('Table 3.20-CFS Non-CIOSS'!H45,'Table 3.20-CFS Non-CIOSS'!H50,'Table 3.20-CFS Non-CIOSS'!H56,'Table 3.20-CFS Non-CIOSS'!H61)</f>
        <v>47714.87532233815</v>
      </c>
      <c r="O71" s="6">
        <f t="shared" si="2"/>
        <v>47714.875322338143</v>
      </c>
      <c r="P71" s="515"/>
      <c r="Q71" s="151"/>
      <c r="R71" s="151"/>
      <c r="S71" s="151"/>
      <c r="T71" s="151"/>
      <c r="U71" s="151"/>
      <c r="V71" s="151"/>
      <c r="W71" s="151"/>
      <c r="X71" s="151"/>
      <c r="Y71" s="151"/>
    </row>
    <row r="72" spans="2:25" hidden="1" x14ac:dyDescent="0.6">
      <c r="F72" s="27"/>
      <c r="G72" s="342" t="s">
        <v>353</v>
      </c>
      <c r="H72" s="32">
        <f>SUM('Table 3.11-Form3547 Costs'!H6,'Table 3.11-Form3547 Costs'!H13,'Table 3.11-Form3547 Costs'!H19)*'Table 3.11-Form3547 Costs'!P21+SUM('Table 3.11-Form3547 Costs'!H28:H29,'Table 3.11-Form3547 Costs'!H36:H37,'Table 3.11-Form3547 Costs'!H43)*'Table 3.11-Form3547 Costs'!P45+SUM('Table 3.12-Form3579 Costs'!H7:H8)*'Table 3.12-Form3579 Costs'!P12</f>
        <v>64399.553690649147</v>
      </c>
      <c r="I72" s="32">
        <f>K58</f>
        <v>64399.553690649147</v>
      </c>
      <c r="J72" s="138">
        <f t="shared" si="1"/>
        <v>0</v>
      </c>
      <c r="K72" s="352"/>
      <c r="L72" s="352"/>
      <c r="M72" s="483" t="s">
        <v>502</v>
      </c>
      <c r="N72" s="6">
        <f>'Table 3.23-CIOSS Summary'!I14</f>
        <v>102689.6033261597</v>
      </c>
      <c r="O72" s="6">
        <f t="shared" si="2"/>
        <v>102689.6033261597</v>
      </c>
      <c r="P72" s="515"/>
      <c r="Q72" s="151"/>
      <c r="R72" s="151"/>
      <c r="S72" s="151"/>
      <c r="T72" s="151"/>
      <c r="U72" s="151"/>
      <c r="V72" s="151"/>
      <c r="W72" s="151"/>
      <c r="X72" s="151"/>
      <c r="Y72" s="151"/>
    </row>
    <row r="73" spans="2:25" hidden="1" x14ac:dyDescent="0.6">
      <c r="F73" s="27"/>
      <c r="G73" s="342" t="s">
        <v>354</v>
      </c>
      <c r="H73" s="32"/>
      <c r="I73" s="32"/>
      <c r="J73" s="138">
        <f t="shared" si="1"/>
        <v>0</v>
      </c>
      <c r="K73" s="352"/>
      <c r="L73" s="352"/>
      <c r="M73" s="483" t="s">
        <v>503</v>
      </c>
      <c r="N73" s="6">
        <f>SUM('Table 3.25-REC Summary'!K14:K14)</f>
        <v>84002.005573565359</v>
      </c>
      <c r="O73" s="6">
        <f t="shared" si="2"/>
        <v>84002.005573565344</v>
      </c>
      <c r="P73" s="515"/>
      <c r="Q73" s="151"/>
      <c r="R73" s="151"/>
      <c r="S73" s="151"/>
      <c r="T73" s="151"/>
      <c r="U73" s="151"/>
      <c r="V73" s="151"/>
      <c r="W73" s="151"/>
      <c r="X73" s="151"/>
      <c r="Y73" s="151"/>
    </row>
    <row r="74" spans="2:25" hidden="1" x14ac:dyDescent="0.6">
      <c r="F74" s="27"/>
      <c r="G74" s="342"/>
      <c r="H74" s="32">
        <f>SUM(H69:H73)</f>
        <v>1630185.5188053118</v>
      </c>
      <c r="I74" s="32">
        <f>SUM(I69:I73)</f>
        <v>1630185.5188053118</v>
      </c>
      <c r="J74" s="138">
        <f t="shared" si="1"/>
        <v>0</v>
      </c>
      <c r="K74" s="352"/>
      <c r="L74" s="352"/>
      <c r="M74" s="67" t="s">
        <v>518</v>
      </c>
      <c r="N74" s="6">
        <f>SUMPRODUCT('Table 3.29-UAA MP Units'!G6:G7,'Table 3.29-UAA MP Units'!G27:G28)</f>
        <v>825775.72736222867</v>
      </c>
      <c r="O74" s="6">
        <f t="shared" si="2"/>
        <v>825775.72736222856</v>
      </c>
      <c r="P74" s="515"/>
      <c r="Q74" s="151"/>
      <c r="R74" s="151"/>
      <c r="S74" s="151"/>
      <c r="T74" s="151"/>
      <c r="U74" s="151"/>
      <c r="V74" s="151"/>
      <c r="W74" s="151"/>
      <c r="X74" s="151"/>
      <c r="Y74" s="151"/>
    </row>
    <row r="75" spans="2:25" hidden="1" x14ac:dyDescent="0.6">
      <c r="F75" s="27"/>
      <c r="G75" s="342"/>
      <c r="H75" s="494"/>
      <c r="I75" s="494"/>
      <c r="J75" s="494"/>
      <c r="K75" s="352"/>
      <c r="L75" s="352"/>
      <c r="M75" s="67" t="s">
        <v>315</v>
      </c>
      <c r="N75" s="6">
        <f>SUM('Table 3.32-Accounting Post Due'!D4:D11)*'Table 3.32-Accounting Post Due'!F4+SUM('Table 3.33-Delivery Post Due'!D5:D18)*'Table 3.33-Delivery Post Due'!F5+SUM('Table 3.34-Window Post Due'!D4:D11)*'Table 3.34-Window Post Due'!F4+'Table 3.36-Process Form 3546'!B4*'Table 3.36-Process Form 3546'!J17</f>
        <v>53493.10351370721</v>
      </c>
      <c r="O75" s="6">
        <f t="shared" si="2"/>
        <v>53493.10351370721</v>
      </c>
      <c r="P75" s="515"/>
      <c r="Q75" s="151"/>
      <c r="R75" s="151"/>
      <c r="S75" s="151"/>
      <c r="T75" s="151"/>
      <c r="U75" s="151"/>
      <c r="V75" s="151"/>
      <c r="W75" s="151"/>
      <c r="X75" s="151"/>
      <c r="Y75" s="151"/>
    </row>
    <row r="76" spans="2:25" hidden="1" x14ac:dyDescent="0.6">
      <c r="G76" s="48"/>
      <c r="H76" s="165"/>
      <c r="I76" s="165"/>
      <c r="J76" s="165"/>
      <c r="K76" s="352"/>
      <c r="L76" s="352"/>
      <c r="M76" s="46" t="s">
        <v>314</v>
      </c>
      <c r="N76" s="6">
        <f>SUM(N69:N75)</f>
        <v>1389167.391277876</v>
      </c>
      <c r="O76" s="6">
        <f>SUM(O69:O75)</f>
        <v>1389167.391277876</v>
      </c>
      <c r="P76" s="515"/>
      <c r="Q76" s="151"/>
      <c r="R76" s="151"/>
      <c r="S76" s="151"/>
      <c r="T76" s="151"/>
      <c r="U76" s="151"/>
      <c r="V76" s="151"/>
      <c r="W76" s="151"/>
      <c r="X76" s="151"/>
      <c r="Y76" s="151"/>
    </row>
    <row r="77" spans="2:25" x14ac:dyDescent="0.6">
      <c r="B77" s="283"/>
      <c r="C77" s="283"/>
      <c r="D77" s="283"/>
      <c r="E77" s="326"/>
      <c r="F77" s="326"/>
      <c r="G77" s="283"/>
      <c r="H77" s="283"/>
      <c r="I77" s="283"/>
      <c r="J77" s="283"/>
      <c r="K77" s="283"/>
      <c r="P77" s="151"/>
      <c r="Q77" s="151"/>
      <c r="R77" s="151"/>
      <c r="S77" s="151"/>
      <c r="T77" s="151"/>
      <c r="U77" s="151"/>
      <c r="V77" s="151"/>
      <c r="W77" s="151"/>
      <c r="X77" s="151"/>
      <c r="Y77" s="151"/>
    </row>
    <row r="78" spans="2:25" x14ac:dyDescent="0.6">
      <c r="B78" t="s">
        <v>235</v>
      </c>
      <c r="P78" s="608"/>
      <c r="Q78" s="151"/>
      <c r="R78" s="151"/>
      <c r="S78" s="151"/>
      <c r="T78" s="151"/>
      <c r="U78" s="151"/>
      <c r="V78" s="151"/>
      <c r="W78" s="151"/>
      <c r="X78" s="151"/>
      <c r="Y78" s="151"/>
    </row>
    <row r="79" spans="2:25" x14ac:dyDescent="0.6">
      <c r="B79" s="12" t="s">
        <v>568</v>
      </c>
      <c r="G79" s="12" t="s">
        <v>27</v>
      </c>
    </row>
    <row r="80" spans="2:25" x14ac:dyDescent="0.6">
      <c r="B80" s="12" t="s">
        <v>569</v>
      </c>
      <c r="G80" s="12" t="s">
        <v>573</v>
      </c>
    </row>
    <row r="81" spans="2:7" x14ac:dyDescent="0.6">
      <c r="B81" s="12" t="s">
        <v>570</v>
      </c>
      <c r="G81" s="12" t="s">
        <v>28</v>
      </c>
    </row>
    <row r="82" spans="2:7" x14ac:dyDescent="0.6">
      <c r="B82" s="13" t="s">
        <v>776</v>
      </c>
      <c r="G82" s="12" t="s">
        <v>29</v>
      </c>
    </row>
    <row r="83" spans="2:7" x14ac:dyDescent="0.6">
      <c r="B83" s="12" t="s">
        <v>777</v>
      </c>
      <c r="G83" s="12" t="s">
        <v>617</v>
      </c>
    </row>
    <row r="84" spans="2:7" x14ac:dyDescent="0.6">
      <c r="B84" s="12" t="s">
        <v>571</v>
      </c>
      <c r="G84" s="12" t="s">
        <v>47</v>
      </c>
    </row>
    <row r="85" spans="2:7" x14ac:dyDescent="0.6">
      <c r="B85" s="12" t="s">
        <v>572</v>
      </c>
    </row>
  </sheetData>
  <phoneticPr fontId="5" type="noConversion"/>
  <printOptions horizontalCentered="1"/>
  <pageMargins left="0.75" right="0.75" top="1" bottom="1" header="0.5" footer="0.5"/>
  <pageSetup scale="56" orientation="landscape" r:id="rId1"/>
  <headerFooter alignWithMargins="0">
    <oddFooter>&amp;L&amp;F</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4"/>
  <dimension ref="A1:S136"/>
  <sheetViews>
    <sheetView zoomScale="70" zoomScaleNormal="70" workbookViewId="0"/>
  </sheetViews>
  <sheetFormatPr defaultColWidth="9.08984375" defaultRowHeight="13" x14ac:dyDescent="0.6"/>
  <cols>
    <col min="1" max="1" width="31.54296875" style="11" customWidth="1"/>
    <col min="2" max="2" width="11.6796875" customWidth="1"/>
    <col min="3" max="3" width="2.6796875" customWidth="1"/>
    <col min="4" max="4" width="11.6796875" style="64" customWidth="1"/>
    <col min="5" max="5" width="2.6796875" style="64" customWidth="1"/>
    <col min="6" max="6" width="11.6796875" style="64" customWidth="1"/>
    <col min="7" max="7" width="2.6796875" style="64" customWidth="1"/>
    <col min="8" max="8" width="11.6796875" style="78" customWidth="1"/>
    <col min="9" max="9" width="2.6796875" style="78" customWidth="1"/>
    <col min="10" max="11" width="11.6796875" style="64" customWidth="1"/>
    <col min="12" max="16384" width="9.08984375" style="11"/>
  </cols>
  <sheetData>
    <row r="1" spans="1:11" ht="15.75" customHeight="1" x14ac:dyDescent="0.7">
      <c r="A1" s="158" t="s">
        <v>559</v>
      </c>
      <c r="D1" s="24"/>
      <c r="E1" s="24"/>
      <c r="F1" s="24"/>
      <c r="G1" s="24"/>
      <c r="H1" s="24"/>
      <c r="I1" s="24"/>
      <c r="J1" s="24"/>
      <c r="K1" s="24"/>
    </row>
    <row r="2" spans="1:11" ht="15.5" x14ac:dyDescent="0.7">
      <c r="A2" s="158" t="s">
        <v>787</v>
      </c>
      <c r="D2" s="24"/>
      <c r="E2" s="24"/>
      <c r="F2" s="24"/>
      <c r="G2" s="24"/>
      <c r="H2" s="24"/>
      <c r="I2" s="24"/>
      <c r="J2" s="24"/>
      <c r="K2" s="24"/>
    </row>
    <row r="3" spans="1:11" ht="25.5" customHeight="1" x14ac:dyDescent="0.6">
      <c r="A3" s="89"/>
      <c r="B3" s="168" t="s">
        <v>222</v>
      </c>
      <c r="C3" s="168"/>
      <c r="D3" s="189" t="s">
        <v>217</v>
      </c>
      <c r="E3" s="189"/>
      <c r="F3" s="198" t="s">
        <v>104</v>
      </c>
      <c r="G3" s="198"/>
      <c r="H3" s="199" t="s">
        <v>251</v>
      </c>
      <c r="I3" s="199"/>
      <c r="J3" s="160" t="s">
        <v>218</v>
      </c>
      <c r="K3" s="41" t="s">
        <v>133</v>
      </c>
    </row>
    <row r="4" spans="1:11" ht="15.5" x14ac:dyDescent="0.7">
      <c r="A4" s="158" t="s">
        <v>434</v>
      </c>
      <c r="B4" s="168"/>
      <c r="C4" s="168"/>
      <c r="D4" s="189"/>
      <c r="E4" s="189"/>
      <c r="F4" s="198"/>
      <c r="G4" s="198"/>
      <c r="H4" s="199"/>
      <c r="I4" s="199"/>
      <c r="J4" s="160"/>
      <c r="K4" s="41"/>
    </row>
    <row r="5" spans="1:11" ht="5.15" customHeight="1" x14ac:dyDescent="0.7">
      <c r="A5" s="158"/>
      <c r="B5" s="168"/>
      <c r="C5" s="168"/>
      <c r="D5" s="189"/>
      <c r="E5" s="189"/>
      <c r="F5" s="198"/>
      <c r="G5" s="198"/>
      <c r="H5" s="199"/>
      <c r="I5" s="199"/>
      <c r="J5" s="160"/>
      <c r="K5" s="41"/>
    </row>
    <row r="6" spans="1:11" x14ac:dyDescent="0.6">
      <c r="A6" s="453" t="s">
        <v>291</v>
      </c>
      <c r="B6" s="168"/>
      <c r="C6" s="168"/>
      <c r="D6" s="189"/>
      <c r="E6" s="189"/>
      <c r="F6" s="198"/>
      <c r="G6" s="198"/>
      <c r="H6" s="199"/>
      <c r="I6" s="199"/>
      <c r="J6" s="160"/>
      <c r="K6" s="41"/>
    </row>
    <row r="7" spans="1:11" x14ac:dyDescent="0.6">
      <c r="A7" s="82" t="s">
        <v>173</v>
      </c>
      <c r="B7" s="6"/>
      <c r="C7" s="6"/>
      <c r="D7" s="52"/>
      <c r="E7" s="52"/>
      <c r="F7" s="86"/>
      <c r="G7" s="86"/>
      <c r="H7" s="104"/>
      <c r="I7" s="54"/>
      <c r="J7" s="39"/>
      <c r="K7" s="88"/>
    </row>
    <row r="8" spans="1:11" x14ac:dyDescent="0.6">
      <c r="A8" s="338" t="s">
        <v>130</v>
      </c>
      <c r="B8" s="105">
        <f>SUM('Table 3.20-CFS Non-CIOSS'!B7,'Table 3.20-CFS Non-CIOSS'!B12,'Table 3.20-CFS Non-CIOSS'!B17)</f>
        <v>0</v>
      </c>
      <c r="C8" s="292" t="s">
        <v>238</v>
      </c>
      <c r="D8" s="196">
        <f>SUM('Table 3.20-CFS Non-CIOSS'!C7,'Table 3.20-CFS Non-CIOSS'!C12,'Table 3.20-CFS Non-CIOSS'!C17)</f>
        <v>0</v>
      </c>
      <c r="E8" s="292" t="s">
        <v>238</v>
      </c>
      <c r="F8" s="83" t="str">
        <f>IF(ISERROR(D8/B8),"n/a",D8/B8)</f>
        <v>n/a</v>
      </c>
      <c r="G8" s="92"/>
      <c r="H8" s="54">
        <v>1.7516721267338493</v>
      </c>
      <c r="I8" s="54"/>
      <c r="J8" s="46">
        <f>D8*$H8</f>
        <v>0</v>
      </c>
      <c r="K8" s="83" t="str">
        <f>IF(ISERROR(J8/B8),"n/a",J8/B8)</f>
        <v>n/a</v>
      </c>
    </row>
    <row r="9" spans="1:11" x14ac:dyDescent="0.6">
      <c r="A9" s="338" t="s">
        <v>292</v>
      </c>
      <c r="B9" s="105">
        <f>SUM('Table 3.20-CFS Non-CIOSS'!B8,'Table 3.20-CFS Non-CIOSS'!B13,'Table 3.20-CFS Non-CIOSS'!B18)</f>
        <v>109081.529294468</v>
      </c>
      <c r="C9" s="292" t="s">
        <v>238</v>
      </c>
      <c r="D9" s="196">
        <f>SUM('Table 3.20-CFS Non-CIOSS'!C8,'Table 3.20-CFS Non-CIOSS'!C13,'Table 3.20-CFS Non-CIOSS'!C18)</f>
        <v>17693.278507819246</v>
      </c>
      <c r="E9" s="292" t="s">
        <v>238</v>
      </c>
      <c r="F9" s="83">
        <f>IF(ISERROR(D9/B9),"n/a",D9/B9)</f>
        <v>0.16220233271625528</v>
      </c>
      <c r="G9" s="92"/>
      <c r="H9" s="54">
        <v>1.7516721267338493</v>
      </c>
      <c r="I9" s="54"/>
      <c r="J9" s="46">
        <f>D9*$H9</f>
        <v>30992.822792686049</v>
      </c>
      <c r="K9" s="83">
        <f>IF(ISERROR(J9/B9),"n/a",J9/B9)</f>
        <v>0.28412530511027434</v>
      </c>
    </row>
    <row r="10" spans="1:11" ht="5.15" customHeight="1" x14ac:dyDescent="0.6">
      <c r="A10" s="89"/>
      <c r="B10" s="200"/>
      <c r="C10" s="200"/>
      <c r="D10" s="204"/>
      <c r="E10" s="200"/>
      <c r="F10" s="201"/>
      <c r="G10" s="198"/>
      <c r="H10" s="199"/>
      <c r="I10" s="199"/>
      <c r="J10" s="205"/>
      <c r="K10" s="83"/>
    </row>
    <row r="11" spans="1:11" x14ac:dyDescent="0.6">
      <c r="A11" s="82" t="s">
        <v>176</v>
      </c>
      <c r="B11" s="135"/>
      <c r="C11" s="135"/>
      <c r="D11" s="196"/>
      <c r="E11" s="135"/>
      <c r="F11" s="92"/>
      <c r="G11" s="48"/>
      <c r="H11" s="48"/>
      <c r="I11" s="48"/>
      <c r="J11" s="196"/>
      <c r="K11" s="92"/>
    </row>
    <row r="12" spans="1:11" x14ac:dyDescent="0.6">
      <c r="A12" s="338" t="s">
        <v>130</v>
      </c>
      <c r="B12" s="105">
        <f>SUM('Table 3.20-CFS Non-CIOSS'!B23,'Table 3.20-CFS Non-CIOSS'!B28,'Table 3.20-CFS Non-CIOSS'!B33)</f>
        <v>0</v>
      </c>
      <c r="C12" s="292" t="s">
        <v>238</v>
      </c>
      <c r="D12" s="196">
        <f>SUM('Table 3.20-CFS Non-CIOSS'!C23,'Table 3.20-CFS Non-CIOSS'!C28,'Table 3.20-CFS Non-CIOSS'!C33)</f>
        <v>0</v>
      </c>
      <c r="E12" s="292" t="s">
        <v>238</v>
      </c>
      <c r="F12" s="83" t="str">
        <f>IF(ISERROR(D12/B12),"n/a",D12/B12)</f>
        <v>n/a</v>
      </c>
      <c r="G12" s="92"/>
      <c r="H12" s="54">
        <v>1.7516721267338493</v>
      </c>
      <c r="I12" s="54"/>
      <c r="J12" s="46">
        <f>D12*$H12</f>
        <v>0</v>
      </c>
      <c r="K12" s="83" t="str">
        <f>IF(ISERROR(J12/B12),"n/a",J12/B12)</f>
        <v>n/a</v>
      </c>
    </row>
    <row r="13" spans="1:11" x14ac:dyDescent="0.6">
      <c r="A13" s="338" t="s">
        <v>292</v>
      </c>
      <c r="B13" s="105">
        <f>SUM('Table 3.20-CFS Non-CIOSS'!B24,'Table 3.20-CFS Non-CIOSS'!B29,'Table 3.20-CFS Non-CIOSS'!B34)</f>
        <v>51531.202644388271</v>
      </c>
      <c r="C13" s="292" t="s">
        <v>238</v>
      </c>
      <c r="D13" s="196">
        <f>SUM('Table 3.20-CFS Non-CIOSS'!C24,'Table 3.20-CFS Non-CIOSS'!C29,'Table 3.20-CFS Non-CIOSS'!C34)</f>
        <v>15328.931869169082</v>
      </c>
      <c r="E13" s="292" t="s">
        <v>238</v>
      </c>
      <c r="F13" s="83">
        <f>IF(ISERROR(D13/B13),"n/a",D13/B13)</f>
        <v>0.29746893304533417</v>
      </c>
      <c r="G13" s="92"/>
      <c r="H13" s="54">
        <v>1.7516721267338493</v>
      </c>
      <c r="I13" s="54"/>
      <c r="J13" s="46">
        <f>D13*$H13</f>
        <v>26851.262687825685</v>
      </c>
      <c r="K13" s="83">
        <f>IF(ISERROR(J13/B13),"n/a",J13/B13)</f>
        <v>0.52106803858476958</v>
      </c>
    </row>
    <row r="14" spans="1:11" ht="5.15" customHeight="1" x14ac:dyDescent="0.6">
      <c r="A14" s="89"/>
      <c r="B14" s="200"/>
      <c r="C14" s="200"/>
      <c r="D14" s="204"/>
      <c r="E14" s="204"/>
      <c r="F14" s="201"/>
      <c r="G14" s="198"/>
      <c r="H14" s="199"/>
      <c r="I14" s="199"/>
      <c r="J14" s="205"/>
      <c r="K14" s="83"/>
    </row>
    <row r="15" spans="1:11" x14ac:dyDescent="0.6">
      <c r="A15" s="338" t="s">
        <v>177</v>
      </c>
      <c r="B15" s="44">
        <f>SUM(B8:B9)</f>
        <v>109081.529294468</v>
      </c>
      <c r="C15" s="44"/>
      <c r="D15" s="196">
        <f>SUM(D8:D9)</f>
        <v>17693.278507819246</v>
      </c>
      <c r="E15" s="196"/>
      <c r="F15" s="83">
        <f>IF(ISERROR(D15/B15),"n/a",D15/B15)</f>
        <v>0.16220233271625528</v>
      </c>
      <c r="G15" s="41"/>
      <c r="H15" s="75"/>
      <c r="I15" s="75"/>
      <c r="J15" s="46">
        <f>SUM(J8:J9)</f>
        <v>30992.822792686049</v>
      </c>
      <c r="K15" s="83">
        <f>IF(ISERROR(J15/B15),"n/a",J15/B15)</f>
        <v>0.28412530511027434</v>
      </c>
    </row>
    <row r="16" spans="1:11" x14ac:dyDescent="0.6">
      <c r="A16" s="338" t="s">
        <v>178</v>
      </c>
      <c r="B16" s="44">
        <f>SUM(B12:B13)</f>
        <v>51531.202644388271</v>
      </c>
      <c r="C16" s="44"/>
      <c r="D16" s="196">
        <f>SUM(D12:D13)</f>
        <v>15328.931869169082</v>
      </c>
      <c r="E16" s="196"/>
      <c r="F16" s="83">
        <f>IF(ISERROR(D16/B16),"n/a",D16/B16)</f>
        <v>0.29746893304533417</v>
      </c>
      <c r="G16" s="202"/>
      <c r="H16" s="203"/>
      <c r="I16" s="203"/>
      <c r="J16" s="46">
        <f>SUM(J12:J13)</f>
        <v>26851.262687825685</v>
      </c>
      <c r="K16" s="83">
        <f>IF(ISERROR(J16/B16),"n/a",J16/B16)</f>
        <v>0.52106803858476958</v>
      </c>
    </row>
    <row r="17" spans="1:19" x14ac:dyDescent="0.6">
      <c r="A17" s="338" t="s">
        <v>102</v>
      </c>
      <c r="B17" s="44">
        <f>B15</f>
        <v>109081.529294468</v>
      </c>
      <c r="C17" s="44"/>
      <c r="D17" s="196">
        <f>SUM(D16,D15)</f>
        <v>33022.210376988325</v>
      </c>
      <c r="E17" s="196"/>
      <c r="F17" s="83">
        <f>IF(ISERROR(D17/B17),"n/a",D17/B17)</f>
        <v>0.30272962425970523</v>
      </c>
      <c r="G17" s="41"/>
      <c r="H17" s="75"/>
      <c r="I17" s="75"/>
      <c r="J17" s="46">
        <f>SUM(J16,J15)</f>
        <v>57844.085480511734</v>
      </c>
      <c r="K17" s="83">
        <f>IF(ISERROR(J17/B17),"n/a",J17/B17)</f>
        <v>0.53028304475233701</v>
      </c>
    </row>
    <row r="18" spans="1:19" x14ac:dyDescent="0.6">
      <c r="A18" s="16"/>
      <c r="B18" s="44"/>
      <c r="C18" s="44"/>
      <c r="D18" s="196"/>
      <c r="E18" s="196"/>
      <c r="F18" s="83"/>
      <c r="G18" s="41"/>
      <c r="H18" s="75"/>
      <c r="I18" s="75"/>
      <c r="J18" s="46"/>
      <c r="K18" s="83"/>
    </row>
    <row r="19" spans="1:19" x14ac:dyDescent="0.6">
      <c r="A19" s="15" t="s">
        <v>782</v>
      </c>
      <c r="B19" s="44"/>
      <c r="C19" s="285"/>
      <c r="D19" s="196"/>
      <c r="E19" s="285"/>
      <c r="F19" s="83"/>
      <c r="G19" s="41"/>
      <c r="H19" s="54"/>
      <c r="I19" s="75"/>
      <c r="J19" s="46"/>
      <c r="K19" s="83"/>
      <c r="M19" s="140"/>
      <c r="N19" s="140"/>
      <c r="O19" s="140"/>
      <c r="P19" s="140"/>
      <c r="Q19" s="140"/>
      <c r="R19" s="140"/>
      <c r="S19" s="140"/>
    </row>
    <row r="20" spans="1:19" x14ac:dyDescent="0.6">
      <c r="A20" s="82" t="s">
        <v>173</v>
      </c>
      <c r="B20" s="44"/>
      <c r="C20" s="285"/>
      <c r="D20" s="196"/>
      <c r="E20" s="285"/>
      <c r="F20" s="83"/>
      <c r="G20" s="41"/>
      <c r="H20" s="54"/>
      <c r="I20" s="75"/>
      <c r="J20" s="46"/>
      <c r="K20" s="83"/>
      <c r="M20" s="140"/>
      <c r="N20" s="140"/>
      <c r="O20" s="140"/>
      <c r="P20" s="140"/>
      <c r="Q20" s="140"/>
      <c r="R20" s="140"/>
      <c r="S20" s="140"/>
    </row>
    <row r="21" spans="1:19" x14ac:dyDescent="0.6">
      <c r="A21" s="338" t="s">
        <v>130</v>
      </c>
      <c r="B21" s="44">
        <f>SUM('Table 3.20-CFS Non-CIOSS'!B69,'Table 3.20-CFS Non-CIOSS'!B74)</f>
        <v>0</v>
      </c>
      <c r="C21" s="292" t="s">
        <v>238</v>
      </c>
      <c r="D21" s="196">
        <f>SUM('Table 3.20-CFS Non-CIOSS'!C69,'Table 3.20-CFS Non-CIOSS'!C74)</f>
        <v>0</v>
      </c>
      <c r="E21" s="292" t="s">
        <v>238</v>
      </c>
      <c r="F21" s="83" t="str">
        <f>IF(ISERROR(D21/B21),"n/a",D21/B21)</f>
        <v>n/a</v>
      </c>
      <c r="G21" s="41"/>
      <c r="H21" s="54">
        <v>1.7516721267338493</v>
      </c>
      <c r="I21" s="75"/>
      <c r="J21" s="46">
        <f>D21*$H21</f>
        <v>0</v>
      </c>
      <c r="K21" s="83" t="str">
        <f>IF(ISERROR(J21/B21),"n/a",J21/B21)</f>
        <v>n/a</v>
      </c>
      <c r="M21" s="140"/>
      <c r="N21" s="140"/>
      <c r="O21" s="140"/>
      <c r="P21" s="140"/>
      <c r="Q21" s="140"/>
      <c r="R21" s="140"/>
      <c r="S21" s="140"/>
    </row>
    <row r="22" spans="1:19" x14ac:dyDescent="0.6">
      <c r="A22" s="338" t="s">
        <v>292</v>
      </c>
      <c r="B22" s="44">
        <f>SUM('Table 3.20-CFS Non-CIOSS'!B70,'Table 3.20-CFS Non-CIOSS'!B75)</f>
        <v>39684.09069886541</v>
      </c>
      <c r="C22" s="292" t="s">
        <v>238</v>
      </c>
      <c r="D22" s="196">
        <f>SUM('Table 3.20-CFS Non-CIOSS'!C70,'Table 3.20-CFS Non-CIOSS'!C75)</f>
        <v>517.04423214518465</v>
      </c>
      <c r="E22" s="292" t="s">
        <v>238</v>
      </c>
      <c r="F22" s="83">
        <f>IF(ISERROR(D22/B22),"n/a",D22/B22)</f>
        <v>1.3029005403416418E-2</v>
      </c>
      <c r="G22" s="41"/>
      <c r="H22" s="54">
        <v>1.7516721267338493</v>
      </c>
      <c r="I22" s="75"/>
      <c r="J22" s="46">
        <f>D22*$H22</f>
        <v>905.69196973722569</v>
      </c>
      <c r="K22" s="83">
        <f>IF(ISERROR(J22/B22),"n/a",J22/B22)</f>
        <v>2.2822545604229253E-2</v>
      </c>
      <c r="M22" s="140"/>
      <c r="N22" s="140"/>
      <c r="O22" s="140"/>
      <c r="P22" s="140"/>
      <c r="Q22" s="140"/>
      <c r="R22" s="140"/>
      <c r="S22" s="140"/>
    </row>
    <row r="23" spans="1:19" ht="5.15" customHeight="1" x14ac:dyDescent="0.6">
      <c r="A23" s="89"/>
      <c r="B23" s="44"/>
      <c r="C23" s="285"/>
      <c r="D23" s="44"/>
      <c r="E23" s="285"/>
      <c r="F23" s="83"/>
      <c r="G23" s="41"/>
      <c r="H23" s="54"/>
      <c r="I23" s="75"/>
      <c r="J23" s="44"/>
      <c r="K23" s="83"/>
      <c r="M23" s="140"/>
      <c r="N23" s="140"/>
      <c r="O23" s="140"/>
      <c r="P23" s="140"/>
      <c r="Q23" s="140"/>
      <c r="R23" s="140"/>
      <c r="S23" s="140"/>
    </row>
    <row r="24" spans="1:19" x14ac:dyDescent="0.6">
      <c r="A24" s="82" t="s">
        <v>176</v>
      </c>
      <c r="B24" s="44"/>
      <c r="C24" s="285"/>
      <c r="D24" s="44"/>
      <c r="E24" s="285"/>
      <c r="F24" s="83"/>
      <c r="G24" s="41"/>
      <c r="H24" s="54"/>
      <c r="I24" s="75"/>
      <c r="J24" s="44"/>
      <c r="K24" s="83"/>
      <c r="M24" s="140"/>
      <c r="N24" s="140"/>
      <c r="O24" s="140"/>
      <c r="P24" s="140"/>
      <c r="Q24" s="140"/>
      <c r="R24" s="140"/>
      <c r="S24" s="140"/>
    </row>
    <row r="25" spans="1:19" x14ac:dyDescent="0.6">
      <c r="A25" s="338" t="s">
        <v>130</v>
      </c>
      <c r="B25" s="44">
        <f>SUM('Table 3.20-CFS Non-CIOSS'!B80,'Table 3.20-CFS Non-CIOSS'!B85)</f>
        <v>0</v>
      </c>
      <c r="C25" s="292" t="s">
        <v>238</v>
      </c>
      <c r="D25" s="196">
        <f>SUM('Table 3.20-CFS Non-CIOSS'!C80,'Table 3.20-CFS Non-CIOSS'!C85)</f>
        <v>0</v>
      </c>
      <c r="E25" s="292" t="s">
        <v>238</v>
      </c>
      <c r="F25" s="83" t="str">
        <f>IF(ISERROR(D25/B25),"n/a",D25/B25)</f>
        <v>n/a</v>
      </c>
      <c r="G25" s="41"/>
      <c r="H25" s="54">
        <v>1.7516721267338493</v>
      </c>
      <c r="I25" s="75"/>
      <c r="J25" s="46">
        <f>D25*$H25</f>
        <v>0</v>
      </c>
      <c r="K25" s="83" t="str">
        <f>IF(ISERROR(J25/B25),"n/a",J25/B25)</f>
        <v>n/a</v>
      </c>
      <c r="M25" s="140"/>
      <c r="N25" s="140"/>
      <c r="O25" s="140"/>
      <c r="P25" s="140"/>
      <c r="Q25" s="140"/>
      <c r="R25" s="140"/>
      <c r="S25" s="140"/>
    </row>
    <row r="26" spans="1:19" x14ac:dyDescent="0.6">
      <c r="A26" s="338" t="s">
        <v>292</v>
      </c>
      <c r="B26" s="44">
        <f>SUM('Table 3.20-CFS Non-CIOSS'!B81,'Table 3.20-CFS Non-CIOSS'!B86)</f>
        <v>39684.09069886541</v>
      </c>
      <c r="C26" s="292" t="s">
        <v>238</v>
      </c>
      <c r="D26" s="196">
        <f>SUM('Table 3.20-CFS Non-CIOSS'!C81,'Table 3.20-CFS Non-CIOSS'!C86)</f>
        <v>9475.3998782203234</v>
      </c>
      <c r="E26" s="292" t="s">
        <v>238</v>
      </c>
      <c r="F26" s="83">
        <f>IF(ISERROR(D26/B26),"n/a",D26/B26)</f>
        <v>0.23877074443061966</v>
      </c>
      <c r="G26" s="41"/>
      <c r="H26" s="54">
        <v>1.7516721267338493</v>
      </c>
      <c r="I26" s="75"/>
      <c r="J26" s="46">
        <f>D26*$H26</f>
        <v>16597.793856335851</v>
      </c>
      <c r="K26" s="83">
        <f>IF(ISERROR(J26/B26),"n/a",J26/B26)</f>
        <v>0.41824805769860796</v>
      </c>
      <c r="M26" s="140"/>
      <c r="N26" s="140"/>
      <c r="O26" s="140"/>
      <c r="P26" s="140"/>
      <c r="Q26" s="140"/>
      <c r="R26" s="140"/>
      <c r="S26" s="140"/>
    </row>
    <row r="27" spans="1:19" ht="5.15" customHeight="1" x14ac:dyDescent="0.6">
      <c r="A27" s="89"/>
      <c r="B27" s="44"/>
      <c r="C27" s="285"/>
      <c r="D27" s="196"/>
      <c r="E27" s="285"/>
      <c r="F27" s="83"/>
      <c r="G27" s="41"/>
      <c r="H27" s="54"/>
      <c r="I27" s="75"/>
      <c r="J27" s="46"/>
      <c r="K27" s="83"/>
      <c r="M27" s="140"/>
      <c r="N27" s="140"/>
      <c r="O27" s="140"/>
      <c r="P27" s="140"/>
      <c r="Q27" s="140"/>
      <c r="R27" s="140"/>
      <c r="S27" s="140"/>
    </row>
    <row r="28" spans="1:19" x14ac:dyDescent="0.6">
      <c r="A28" s="338" t="s">
        <v>177</v>
      </c>
      <c r="B28" s="44">
        <f>SUM(B21:B22)</f>
        <v>39684.09069886541</v>
      </c>
      <c r="C28" s="285"/>
      <c r="D28" s="196">
        <f>SUM(D21:D22)</f>
        <v>517.04423214518465</v>
      </c>
      <c r="E28" s="285"/>
      <c r="F28" s="83">
        <f>IF(ISERROR(D28/B28),"n/a",D28/B28)</f>
        <v>1.3029005403416418E-2</v>
      </c>
      <c r="G28" s="41"/>
      <c r="H28" s="54">
        <v>1.7516721267338493</v>
      </c>
      <c r="I28" s="75"/>
      <c r="J28" s="46">
        <f>D28*$H28</f>
        <v>905.69196973722569</v>
      </c>
      <c r="K28" s="83">
        <f>IF(ISERROR(J28/B28),"n/a",J28/B28)</f>
        <v>2.2822545604229253E-2</v>
      </c>
      <c r="M28" s="140"/>
      <c r="N28" s="140"/>
      <c r="O28" s="140"/>
      <c r="P28" s="140"/>
      <c r="Q28" s="140"/>
      <c r="R28" s="140"/>
      <c r="S28" s="140"/>
    </row>
    <row r="29" spans="1:19" x14ac:dyDescent="0.6">
      <c r="A29" s="338" t="s">
        <v>178</v>
      </c>
      <c r="B29" s="44">
        <f>SUM(B25:B26)</f>
        <v>39684.09069886541</v>
      </c>
      <c r="C29" s="285"/>
      <c r="D29" s="196">
        <f>SUM(D25:D26)</f>
        <v>9475.3998782203234</v>
      </c>
      <c r="E29" s="285"/>
      <c r="F29" s="83">
        <f>IF(ISERROR(D29/B29),"n/a",D29/B29)</f>
        <v>0.23877074443061966</v>
      </c>
      <c r="G29" s="41"/>
      <c r="H29" s="54">
        <v>1.7516721267338493</v>
      </c>
      <c r="I29" s="75"/>
      <c r="J29" s="46">
        <f>D29*$H29</f>
        <v>16597.793856335851</v>
      </c>
      <c r="K29" s="83">
        <f>IF(ISERROR(J29/B29),"n/a",J29/B29)</f>
        <v>0.41824805769860796</v>
      </c>
      <c r="M29" s="140"/>
      <c r="N29" s="140"/>
      <c r="O29" s="140"/>
      <c r="P29" s="140"/>
      <c r="Q29" s="140"/>
      <c r="R29" s="140"/>
      <c r="S29" s="140"/>
    </row>
    <row r="30" spans="1:19" ht="12.75" customHeight="1" x14ac:dyDescent="0.6">
      <c r="A30" s="338" t="s">
        <v>102</v>
      </c>
      <c r="B30" s="44">
        <f>B29</f>
        <v>39684.09069886541</v>
      </c>
      <c r="C30" s="285"/>
      <c r="D30" s="196">
        <f>SUM(D28:D29)</f>
        <v>9992.4441103655081</v>
      </c>
      <c r="E30" s="285"/>
      <c r="F30" s="83">
        <f>IF(ISERROR(D30/B30),"n/a",D30/B30)</f>
        <v>0.25179974983403608</v>
      </c>
      <c r="G30" s="41"/>
      <c r="H30" s="54"/>
      <c r="I30" s="75"/>
      <c r="J30" s="46">
        <f>SUM(J28:J29)</f>
        <v>17503.485826073076</v>
      </c>
      <c r="K30" s="83">
        <f>IF(ISERROR(J30/B30),"n/a",J30/B30)</f>
        <v>0.44107060330283721</v>
      </c>
      <c r="M30" s="140"/>
    </row>
    <row r="31" spans="1:19" ht="12.75" customHeight="1" x14ac:dyDescent="0.6">
      <c r="A31" s="343"/>
      <c r="B31" s="44"/>
      <c r="C31" s="285"/>
      <c r="D31" s="196"/>
      <c r="E31" s="285"/>
      <c r="F31" s="83"/>
      <c r="G31" s="41"/>
      <c r="H31" s="54"/>
      <c r="I31" s="75"/>
      <c r="J31" s="46"/>
      <c r="K31" s="83"/>
      <c r="M31" s="140"/>
    </row>
    <row r="32" spans="1:19" ht="15.75" customHeight="1" x14ac:dyDescent="0.7">
      <c r="A32" s="158" t="s">
        <v>647</v>
      </c>
      <c r="D32" s="24"/>
      <c r="E32" s="24"/>
      <c r="F32" s="24"/>
      <c r="G32" s="24"/>
      <c r="H32" s="24"/>
      <c r="I32" s="24"/>
      <c r="J32" s="24"/>
      <c r="K32" s="24"/>
      <c r="M32" s="140"/>
    </row>
    <row r="33" spans="1:13" ht="15.75" customHeight="1" x14ac:dyDescent="0.7">
      <c r="A33" s="158" t="s">
        <v>787</v>
      </c>
      <c r="D33" s="24"/>
      <c r="E33" s="24"/>
      <c r="F33" s="24"/>
      <c r="G33" s="24"/>
      <c r="H33" s="24"/>
      <c r="I33" s="24"/>
      <c r="J33" s="24"/>
      <c r="K33" s="24"/>
      <c r="M33" s="140"/>
    </row>
    <row r="34" spans="1:13" ht="25.5" customHeight="1" x14ac:dyDescent="0.6">
      <c r="A34" s="89"/>
      <c r="B34" s="168" t="s">
        <v>222</v>
      </c>
      <c r="C34" s="168"/>
      <c r="D34" s="189" t="s">
        <v>217</v>
      </c>
      <c r="E34" s="189"/>
      <c r="F34" s="198" t="s">
        <v>104</v>
      </c>
      <c r="G34" s="198"/>
      <c r="H34" s="199" t="s">
        <v>251</v>
      </c>
      <c r="I34" s="199"/>
      <c r="J34" s="160" t="s">
        <v>218</v>
      </c>
      <c r="K34" s="41" t="s">
        <v>133</v>
      </c>
      <c r="M34" s="140"/>
    </row>
    <row r="35" spans="1:13" ht="15.5" x14ac:dyDescent="0.7">
      <c r="A35" s="158" t="s">
        <v>435</v>
      </c>
      <c r="B35" s="168"/>
      <c r="C35" s="168"/>
      <c r="D35" s="189"/>
      <c r="E35" s="189"/>
      <c r="F35" s="198"/>
      <c r="G35" s="198"/>
      <c r="H35" s="199"/>
      <c r="I35" s="199"/>
      <c r="J35" s="160"/>
      <c r="K35" s="41"/>
      <c r="M35" s="140"/>
    </row>
    <row r="36" spans="1:13" ht="5.15" customHeight="1" x14ac:dyDescent="0.7">
      <c r="A36" s="158"/>
      <c r="B36" s="168"/>
      <c r="C36" s="168"/>
      <c r="D36" s="189"/>
      <c r="E36" s="189"/>
      <c r="F36" s="198"/>
      <c r="G36" s="198"/>
      <c r="H36" s="199"/>
      <c r="I36" s="199"/>
      <c r="J36" s="160"/>
      <c r="K36" s="41"/>
      <c r="M36" s="140"/>
    </row>
    <row r="37" spans="1:13" x14ac:dyDescent="0.6">
      <c r="A37" s="453" t="s">
        <v>291</v>
      </c>
      <c r="B37" s="168"/>
      <c r="C37" s="168"/>
      <c r="D37" s="189"/>
      <c r="E37" s="189"/>
      <c r="F37" s="198"/>
      <c r="G37" s="198"/>
      <c r="H37" s="199"/>
      <c r="I37" s="199"/>
      <c r="J37" s="160"/>
      <c r="K37" s="41"/>
      <c r="M37" s="140"/>
    </row>
    <row r="38" spans="1:13" x14ac:dyDescent="0.6">
      <c r="A38" s="82" t="s">
        <v>173</v>
      </c>
      <c r="B38" s="6"/>
      <c r="C38" s="6"/>
      <c r="D38" s="52"/>
      <c r="E38" s="52"/>
      <c r="F38" s="86"/>
      <c r="G38" s="86"/>
      <c r="H38" s="104"/>
      <c r="I38" s="54"/>
      <c r="J38" s="39"/>
      <c r="K38" s="88"/>
      <c r="M38" s="140"/>
    </row>
    <row r="39" spans="1:13" x14ac:dyDescent="0.6">
      <c r="A39" s="338" t="s">
        <v>130</v>
      </c>
      <c r="B39" s="105">
        <f>SUM('Table 3.21-CFS CIOSS Rejs'!B7,'Table 3.21-CFS CIOSS Rejs'!B12,'Table 3.21-CFS CIOSS Rejs'!B17)</f>
        <v>0</v>
      </c>
      <c r="C39" s="292" t="s">
        <v>240</v>
      </c>
      <c r="D39" s="196">
        <f>SUM('Table 3.21-CFS CIOSS Rejs'!C7,'Table 3.21-CFS CIOSS Rejs'!C12,'Table 3.21-CFS CIOSS Rejs'!C17)</f>
        <v>0</v>
      </c>
      <c r="E39" s="292" t="s">
        <v>240</v>
      </c>
      <c r="F39" s="83" t="str">
        <f>IF(ISERROR(D39/B39),"n/a",D39/B39)</f>
        <v>n/a</v>
      </c>
      <c r="G39" s="92"/>
      <c r="H39" s="54">
        <v>1.7516721267338493</v>
      </c>
      <c r="I39" s="54"/>
      <c r="J39" s="46">
        <f>D39*$H39</f>
        <v>0</v>
      </c>
      <c r="K39" s="83" t="str">
        <f>IF(ISERROR(J39/B39),"n/a",J39/B39)</f>
        <v>n/a</v>
      </c>
      <c r="M39" s="140"/>
    </row>
    <row r="40" spans="1:13" x14ac:dyDescent="0.6">
      <c r="A40" s="338" t="s">
        <v>292</v>
      </c>
      <c r="B40" s="105">
        <f>SUM('Table 3.21-CFS CIOSS Rejs'!B8,'Table 3.21-CFS CIOSS Rejs'!B13,'Table 3.21-CFS CIOSS Rejs'!B18)</f>
        <v>48025.696585995829</v>
      </c>
      <c r="C40" s="292" t="s">
        <v>240</v>
      </c>
      <c r="D40" s="196">
        <f>SUM('Table 3.21-CFS CIOSS Rejs'!C8,'Table 3.21-CFS CIOSS Rejs'!C13,'Table 3.21-CFS CIOSS Rejs'!C18)</f>
        <v>7768.8034214193403</v>
      </c>
      <c r="E40" s="292" t="s">
        <v>240</v>
      </c>
      <c r="F40" s="83">
        <f>IF(ISERROR(D40/B40),"n/a",D40/B40)</f>
        <v>0.16176347192608351</v>
      </c>
      <c r="G40" s="92"/>
      <c r="H40" s="54">
        <v>1.7516721267338493</v>
      </c>
      <c r="I40" s="54"/>
      <c r="J40" s="46">
        <f>D40*$H40</f>
        <v>13608.396411374821</v>
      </c>
      <c r="K40" s="83">
        <f>IF(ISERROR(J40/B40),"n/a",J40/B40)</f>
        <v>0.28335656489661398</v>
      </c>
      <c r="M40" s="140"/>
    </row>
    <row r="41" spans="1:13" ht="5.15" customHeight="1" x14ac:dyDescent="0.6">
      <c r="A41" s="89"/>
      <c r="B41" s="200"/>
      <c r="C41" s="200"/>
      <c r="D41" s="204"/>
      <c r="E41" s="200"/>
      <c r="F41" s="201"/>
      <c r="G41" s="198"/>
      <c r="H41" s="199"/>
      <c r="I41" s="199"/>
      <c r="J41" s="205"/>
      <c r="K41" s="83"/>
      <c r="M41" s="140"/>
    </row>
    <row r="42" spans="1:13" x14ac:dyDescent="0.6">
      <c r="A42" s="82" t="s">
        <v>176</v>
      </c>
      <c r="B42" s="135"/>
      <c r="C42" s="135"/>
      <c r="D42" s="196"/>
      <c r="E42" s="135"/>
      <c r="F42" s="92"/>
      <c r="G42" s="48"/>
      <c r="H42" s="48"/>
      <c r="I42" s="48"/>
      <c r="J42" s="196"/>
      <c r="K42" s="92"/>
      <c r="M42" s="140"/>
    </row>
    <row r="43" spans="1:13" x14ac:dyDescent="0.6">
      <c r="A43" s="338" t="s">
        <v>130</v>
      </c>
      <c r="B43" s="105">
        <f>SUM('Table 3.21-CFS CIOSS Rejs'!B23,'Table 3.21-CFS CIOSS Rejs'!B28,'Table 3.21-CFS CIOSS Rejs'!B33)</f>
        <v>0</v>
      </c>
      <c r="C43" s="292" t="s">
        <v>240</v>
      </c>
      <c r="D43" s="196">
        <f>SUM('Table 3.21-CFS CIOSS Rejs'!C23,'Table 3.21-CFS CIOSS Rejs'!C28,'Table 3.21-CFS CIOSS Rejs'!C33)</f>
        <v>0</v>
      </c>
      <c r="E43" s="292" t="s">
        <v>240</v>
      </c>
      <c r="F43" s="83" t="str">
        <f>IF(ISERROR(D43/B43),"n/a",D43/B43)</f>
        <v>n/a</v>
      </c>
      <c r="G43" s="92"/>
      <c r="H43" s="54">
        <v>1.7516721267338493</v>
      </c>
      <c r="I43" s="54"/>
      <c r="J43" s="46">
        <f>D43*$H43</f>
        <v>0</v>
      </c>
      <c r="K43" s="83" t="str">
        <f>IF(ISERROR(J43/B43),"n/a",J43/B43)</f>
        <v>n/a</v>
      </c>
      <c r="M43" s="140"/>
    </row>
    <row r="44" spans="1:13" x14ac:dyDescent="0.6">
      <c r="A44" s="338" t="s">
        <v>292</v>
      </c>
      <c r="B44" s="105">
        <f>SUM('Table 3.21-CFS CIOSS Rejs'!B24,'Table 3.21-CFS CIOSS Rejs'!B29,'Table 3.21-CFS CIOSS Rejs'!B34)</f>
        <v>3730.0810200000005</v>
      </c>
      <c r="C44" s="292" t="s">
        <v>240</v>
      </c>
      <c r="D44" s="196">
        <f>SUM('Table 3.21-CFS CIOSS Rejs'!C24,'Table 3.21-CFS CIOSS Rejs'!C29,'Table 3.21-CFS CIOSS Rejs'!C34)</f>
        <v>1109.583221192052</v>
      </c>
      <c r="E44" s="292" t="s">
        <v>240</v>
      </c>
      <c r="F44" s="83">
        <f>IF(ISERROR(D44/B44),"n/a",D44/B44)</f>
        <v>0.29746893304533417</v>
      </c>
      <c r="G44" s="92"/>
      <c r="H44" s="54">
        <v>1.7516721267338493</v>
      </c>
      <c r="I44" s="54"/>
      <c r="J44" s="46">
        <f>D44*$H44</f>
        <v>1943.6260008536767</v>
      </c>
      <c r="K44" s="83">
        <f>IF(ISERROR(J44/B44),"n/a",J44/B44)</f>
        <v>0.52106803858476947</v>
      </c>
      <c r="M44" s="140"/>
    </row>
    <row r="45" spans="1:13" ht="5.15" customHeight="1" x14ac:dyDescent="0.6">
      <c r="A45" s="89"/>
      <c r="B45" s="200"/>
      <c r="C45" s="200"/>
      <c r="D45" s="204"/>
      <c r="E45" s="200"/>
      <c r="F45" s="201"/>
      <c r="G45" s="198"/>
      <c r="H45" s="199"/>
      <c r="I45" s="199"/>
      <c r="J45" s="205"/>
      <c r="K45" s="83"/>
      <c r="M45" s="140"/>
    </row>
    <row r="46" spans="1:13" x14ac:dyDescent="0.6">
      <c r="A46" s="338" t="s">
        <v>177</v>
      </c>
      <c r="B46" s="44">
        <f>SUM(B39:B40)</f>
        <v>48025.696585995829</v>
      </c>
      <c r="C46" s="44"/>
      <c r="D46" s="196">
        <f>SUM(D39:D40)</f>
        <v>7768.8034214193403</v>
      </c>
      <c r="E46" s="44"/>
      <c r="F46" s="83">
        <f>IF(ISERROR(D46/B46),"n/a",D46/B46)</f>
        <v>0.16176347192608351</v>
      </c>
      <c r="G46" s="41"/>
      <c r="H46" s="75"/>
      <c r="I46" s="75"/>
      <c r="J46" s="46">
        <f>SUM(J39:J40)</f>
        <v>13608.396411374821</v>
      </c>
      <c r="K46" s="83">
        <f>IF(ISERROR(J46/B46),"n/a",J46/B46)</f>
        <v>0.28335656489661398</v>
      </c>
      <c r="M46" s="140"/>
    </row>
    <row r="47" spans="1:13" x14ac:dyDescent="0.6">
      <c r="A47" s="338" t="s">
        <v>178</v>
      </c>
      <c r="B47" s="44">
        <f>SUM(B43:B44)</f>
        <v>3730.0810200000005</v>
      </c>
      <c r="C47" s="44"/>
      <c r="D47" s="196">
        <f>SUM(D43:D44)</f>
        <v>1109.583221192052</v>
      </c>
      <c r="E47" s="44"/>
      <c r="F47" s="83">
        <f>IF(ISERROR(D47/B47),"n/a",D47/B47)</f>
        <v>0.29746893304533417</v>
      </c>
      <c r="G47" s="202"/>
      <c r="H47" s="203"/>
      <c r="I47" s="203"/>
      <c r="J47" s="46">
        <f>SUM(J43:J44)</f>
        <v>1943.6260008536767</v>
      </c>
      <c r="K47" s="83">
        <f>IF(ISERROR(J47/B47),"n/a",J47/B47)</f>
        <v>0.52106803858476947</v>
      </c>
      <c r="M47" s="140"/>
    </row>
    <row r="48" spans="1:13" x14ac:dyDescent="0.6">
      <c r="A48" s="338" t="s">
        <v>102</v>
      </c>
      <c r="B48" s="44">
        <f>B46</f>
        <v>48025.696585995829</v>
      </c>
      <c r="C48" s="44"/>
      <c r="D48" s="196">
        <f>SUM(D47,D46)</f>
        <v>8878.3866426113927</v>
      </c>
      <c r="E48" s="44"/>
      <c r="F48" s="83">
        <f>IF(ISERROR(D48/B48),"n/a",D48/B48)</f>
        <v>0.18486742043842228</v>
      </c>
      <c r="G48" s="41"/>
      <c r="H48" s="75"/>
      <c r="I48" s="75"/>
      <c r="J48" s="46">
        <f>SUM(J47,J46)</f>
        <v>15552.022412228498</v>
      </c>
      <c r="K48" s="83">
        <f>IF(ISERROR(J48/B48),"n/a",J48/B48)</f>
        <v>0.32382710752317184</v>
      </c>
      <c r="M48" s="140"/>
    </row>
    <row r="49" spans="1:13" x14ac:dyDescent="0.6">
      <c r="A49" s="16"/>
      <c r="B49" s="44"/>
      <c r="C49" s="44"/>
      <c r="D49" s="196"/>
      <c r="E49" s="44"/>
      <c r="F49" s="83"/>
      <c r="G49" s="41"/>
      <c r="H49" s="75"/>
      <c r="I49" s="75"/>
      <c r="J49" s="46"/>
      <c r="K49" s="83"/>
      <c r="M49" s="140"/>
    </row>
    <row r="50" spans="1:13" x14ac:dyDescent="0.6">
      <c r="A50" s="15" t="s">
        <v>782</v>
      </c>
      <c r="B50" s="44"/>
      <c r="C50" s="285"/>
      <c r="D50" s="196"/>
      <c r="E50" s="285"/>
      <c r="F50" s="83"/>
      <c r="G50" s="41"/>
      <c r="H50" s="54"/>
      <c r="I50" s="75"/>
      <c r="J50" s="46"/>
      <c r="K50" s="83"/>
      <c r="M50" s="140"/>
    </row>
    <row r="51" spans="1:13" x14ac:dyDescent="0.6">
      <c r="A51" s="82" t="s">
        <v>173</v>
      </c>
      <c r="B51" s="44"/>
      <c r="C51" s="285"/>
      <c r="D51" s="196"/>
      <c r="E51" s="285"/>
      <c r="F51" s="83"/>
      <c r="G51" s="41"/>
      <c r="H51" s="54"/>
      <c r="I51" s="75"/>
      <c r="J51" s="46"/>
      <c r="K51" s="83"/>
      <c r="M51" s="140"/>
    </row>
    <row r="52" spans="1:13" x14ac:dyDescent="0.6">
      <c r="A52" s="338" t="s">
        <v>130</v>
      </c>
      <c r="B52" s="44">
        <f>SUM('Table 3.21-CFS CIOSS Rejs'!B69,'Table 3.21-CFS CIOSS Rejs'!B74)</f>
        <v>0</v>
      </c>
      <c r="C52" s="292" t="s">
        <v>240</v>
      </c>
      <c r="D52" s="196">
        <f>SUM('Table 3.21-CFS CIOSS Rejs'!C69,'Table 3.21-CFS CIOSS Rejs'!C74)</f>
        <v>0</v>
      </c>
      <c r="E52" s="292" t="s">
        <v>240</v>
      </c>
      <c r="F52" s="83" t="str">
        <f>IF(ISERROR(D52/B52),"n/a",D52/B52)</f>
        <v>n/a</v>
      </c>
      <c r="G52" s="41"/>
      <c r="H52" s="54">
        <v>1.7516721267338493</v>
      </c>
      <c r="I52" s="75"/>
      <c r="J52" s="46">
        <f>D52*$H52</f>
        <v>0</v>
      </c>
      <c r="K52" s="83" t="str">
        <f>IF(ISERROR(J52/B52),"n/a",J52/B52)</f>
        <v>n/a</v>
      </c>
      <c r="M52" s="140"/>
    </row>
    <row r="53" spans="1:13" x14ac:dyDescent="0.6">
      <c r="A53" s="338" t="s">
        <v>292</v>
      </c>
      <c r="B53" s="44">
        <f>SUM('Table 3.21-CFS CIOSS Rejs'!B70,'Table 3.21-CFS CIOSS Rejs'!B75)</f>
        <v>5538.234977617225</v>
      </c>
      <c r="C53" s="292" t="s">
        <v>240</v>
      </c>
      <c r="D53" s="196">
        <f>SUM('Table 3.21-CFS CIOSS Rejs'!C70,'Table 3.21-CFS CIOSS Rejs'!C75)</f>
        <v>72.157693448764576</v>
      </c>
      <c r="E53" s="292" t="s">
        <v>240</v>
      </c>
      <c r="F53" s="83">
        <f>IF(ISERROR(D53/B53),"n/a",D53/B53)</f>
        <v>1.3029005403416408E-2</v>
      </c>
      <c r="G53" s="41"/>
      <c r="H53" s="54">
        <v>1.7516721267338493</v>
      </c>
      <c r="I53" s="75"/>
      <c r="J53" s="46">
        <f>D53*$H53</f>
        <v>126.39662034360659</v>
      </c>
      <c r="K53" s="83">
        <f>IF(ISERROR(J53/B53),"n/a",J53/B53)</f>
        <v>2.2822545604229232E-2</v>
      </c>
      <c r="M53" s="140"/>
    </row>
    <row r="54" spans="1:13" ht="5.15" customHeight="1" x14ac:dyDescent="0.6">
      <c r="A54" s="89"/>
      <c r="B54" s="44"/>
      <c r="C54" s="285"/>
      <c r="D54" s="44"/>
      <c r="E54" s="285"/>
      <c r="F54" s="83"/>
      <c r="G54" s="41"/>
      <c r="H54" s="54"/>
      <c r="I54" s="75"/>
      <c r="J54" s="44"/>
      <c r="K54" s="83"/>
      <c r="M54" s="140"/>
    </row>
    <row r="55" spans="1:13" x14ac:dyDescent="0.6">
      <c r="A55" s="82" t="s">
        <v>176</v>
      </c>
      <c r="B55" s="44"/>
      <c r="C55" s="285"/>
      <c r="D55" s="44"/>
      <c r="E55" s="285"/>
      <c r="F55" s="83"/>
      <c r="G55" s="41"/>
      <c r="H55" s="54"/>
      <c r="I55" s="75"/>
      <c r="J55" s="44"/>
      <c r="K55" s="83"/>
      <c r="M55" s="140"/>
    </row>
    <row r="56" spans="1:13" x14ac:dyDescent="0.6">
      <c r="A56" s="338" t="s">
        <v>130</v>
      </c>
      <c r="B56" s="44">
        <f>SUM('Table 3.21-CFS CIOSS Rejs'!B80,'Table 3.21-CFS CIOSS Rejs'!B85)</f>
        <v>0</v>
      </c>
      <c r="C56" s="292" t="s">
        <v>240</v>
      </c>
      <c r="D56" s="196">
        <f>SUM('Table 3.21-CFS CIOSS Rejs'!C80,'Table 3.21-CFS CIOSS Rejs'!C85)</f>
        <v>0</v>
      </c>
      <c r="E56" s="292" t="s">
        <v>240</v>
      </c>
      <c r="F56" s="83" t="str">
        <f>IF(ISERROR(D56/B56),"n/a",D56/B56)</f>
        <v>n/a</v>
      </c>
      <c r="G56" s="41"/>
      <c r="H56" s="54">
        <v>1.7516721267338493</v>
      </c>
      <c r="I56" s="75"/>
      <c r="J56" s="46">
        <f>D56*$H56</f>
        <v>0</v>
      </c>
      <c r="K56" s="83" t="str">
        <f>IF(ISERROR(J56/B56),"n/a",J56/B56)</f>
        <v>n/a</v>
      </c>
      <c r="M56" s="140"/>
    </row>
    <row r="57" spans="1:13" x14ac:dyDescent="0.6">
      <c r="A57" s="338" t="s">
        <v>292</v>
      </c>
      <c r="B57" s="44">
        <f>SUM('Table 3.21-CFS CIOSS Rejs'!B81,'Table 3.21-CFS CIOSS Rejs'!B86)</f>
        <v>5538.234977617225</v>
      </c>
      <c r="C57" s="292" t="s">
        <v>240</v>
      </c>
      <c r="D57" s="196">
        <f>SUM('Table 3.21-CFS CIOSS Rejs'!C81,'Table 3.21-CFS CIOSS Rejs'!C86)</f>
        <v>1322.3684884373613</v>
      </c>
      <c r="E57" s="292" t="s">
        <v>240</v>
      </c>
      <c r="F57" s="83">
        <f>IF(ISERROR(D57/B57),"n/a",D57/B57)</f>
        <v>0.23877074443061971</v>
      </c>
      <c r="G57" s="41"/>
      <c r="H57" s="54">
        <v>1.7516721267338493</v>
      </c>
      <c r="I57" s="75"/>
      <c r="J57" s="46">
        <f>D57*$H57</f>
        <v>2316.3560224668981</v>
      </c>
      <c r="K57" s="83">
        <f>IF(ISERROR(J57/B57),"n/a",J57/B57)</f>
        <v>0.41824805769860801</v>
      </c>
      <c r="M57" s="140"/>
    </row>
    <row r="58" spans="1:13" ht="5.15" customHeight="1" x14ac:dyDescent="0.6">
      <c r="A58" s="89"/>
      <c r="B58" s="44"/>
      <c r="C58" s="285"/>
      <c r="D58" s="196"/>
      <c r="E58" s="285"/>
      <c r="F58" s="83"/>
      <c r="G58" s="41"/>
      <c r="H58" s="54"/>
      <c r="I58" s="75"/>
      <c r="J58" s="46"/>
      <c r="K58" s="83"/>
      <c r="M58" s="140"/>
    </row>
    <row r="59" spans="1:13" x14ac:dyDescent="0.6">
      <c r="A59" s="338" t="s">
        <v>177</v>
      </c>
      <c r="B59" s="44">
        <f>SUM(B52:B53)</f>
        <v>5538.234977617225</v>
      </c>
      <c r="C59" s="285"/>
      <c r="D59" s="196">
        <f>SUM(D52:D53)</f>
        <v>72.157693448764576</v>
      </c>
      <c r="E59" s="285"/>
      <c r="F59" s="83">
        <f>IF(ISERROR(D59/B59),"n/a",D59/B59)</f>
        <v>1.3029005403416408E-2</v>
      </c>
      <c r="G59" s="41"/>
      <c r="H59" s="54">
        <v>1.7516721267338493</v>
      </c>
      <c r="I59" s="75"/>
      <c r="J59" s="46">
        <f>D59*$H59</f>
        <v>126.39662034360659</v>
      </c>
      <c r="K59" s="83">
        <f>IF(ISERROR(J59/B59),"n/a",J59/B59)</f>
        <v>2.2822545604229232E-2</v>
      </c>
      <c r="M59" s="140"/>
    </row>
    <row r="60" spans="1:13" x14ac:dyDescent="0.6">
      <c r="A60" s="338" t="s">
        <v>178</v>
      </c>
      <c r="B60" s="44">
        <f>SUM(B56:B57)</f>
        <v>5538.234977617225</v>
      </c>
      <c r="C60" s="285"/>
      <c r="D60" s="196">
        <f>SUM(D56:D57)</f>
        <v>1322.3684884373613</v>
      </c>
      <c r="E60" s="285"/>
      <c r="F60" s="83">
        <f>IF(ISERROR(D60/B60),"n/a",D60/B60)</f>
        <v>0.23877074443061971</v>
      </c>
      <c r="G60" s="41"/>
      <c r="H60" s="54">
        <v>1.7516721267338493</v>
      </c>
      <c r="I60" s="75"/>
      <c r="J60" s="46">
        <f>D60*$H60</f>
        <v>2316.3560224668981</v>
      </c>
      <c r="K60" s="83">
        <f>IF(ISERROR(J60/B60),"n/a",J60/B60)</f>
        <v>0.41824805769860801</v>
      </c>
      <c r="M60" s="140"/>
    </row>
    <row r="61" spans="1:13" x14ac:dyDescent="0.6">
      <c r="A61" s="338" t="s">
        <v>102</v>
      </c>
      <c r="B61" s="44">
        <f>B60</f>
        <v>5538.234977617225</v>
      </c>
      <c r="C61" s="285"/>
      <c r="D61" s="196">
        <f>SUM(D59:D60)</f>
        <v>1394.5261818861259</v>
      </c>
      <c r="E61" s="285"/>
      <c r="F61" s="83">
        <f>IF(ISERROR(D61/B61),"n/a",D61/B61)</f>
        <v>0.25179974983403614</v>
      </c>
      <c r="G61" s="41"/>
      <c r="H61" s="54"/>
      <c r="I61" s="75"/>
      <c r="J61" s="46">
        <f>SUM(J59:J60)</f>
        <v>2442.7526428105048</v>
      </c>
      <c r="K61" s="83">
        <f>IF(ISERROR(J61/B61),"n/a",J61/B61)</f>
        <v>0.44107060330283726</v>
      </c>
    </row>
    <row r="62" spans="1:13" x14ac:dyDescent="0.6">
      <c r="A62" s="338"/>
      <c r="B62" s="44"/>
      <c r="C62" s="285"/>
      <c r="D62" s="196"/>
      <c r="E62" s="285"/>
      <c r="F62" s="83"/>
      <c r="G62" s="41"/>
      <c r="H62" s="54"/>
      <c r="I62" s="75"/>
      <c r="J62" s="46"/>
      <c r="K62" s="83"/>
    </row>
    <row r="63" spans="1:13" ht="15.5" x14ac:dyDescent="0.7">
      <c r="A63" s="158" t="s">
        <v>648</v>
      </c>
      <c r="D63" s="24"/>
      <c r="E63" s="24"/>
      <c r="F63" s="24"/>
      <c r="G63" s="24"/>
      <c r="H63" s="24"/>
      <c r="I63" s="24"/>
      <c r="J63" s="24"/>
      <c r="K63" s="24"/>
    </row>
    <row r="64" spans="1:13" ht="15.5" x14ac:dyDescent="0.7">
      <c r="A64" s="158" t="s">
        <v>787</v>
      </c>
      <c r="D64" s="24"/>
      <c r="E64" s="24"/>
      <c r="F64" s="24"/>
      <c r="G64" s="24"/>
      <c r="H64" s="24"/>
      <c r="I64" s="24"/>
      <c r="J64" s="24"/>
      <c r="K64" s="24"/>
    </row>
    <row r="65" spans="1:11" ht="26" x14ac:dyDescent="0.6">
      <c r="A65" s="89"/>
      <c r="B65" s="168" t="s">
        <v>222</v>
      </c>
      <c r="C65" s="168"/>
      <c r="D65" s="189" t="s">
        <v>217</v>
      </c>
      <c r="E65" s="189"/>
      <c r="F65" s="198" t="s">
        <v>104</v>
      </c>
      <c r="G65" s="198"/>
      <c r="H65" s="199" t="s">
        <v>251</v>
      </c>
      <c r="I65" s="199"/>
      <c r="J65" s="160" t="s">
        <v>218</v>
      </c>
      <c r="K65" s="41" t="s">
        <v>133</v>
      </c>
    </row>
    <row r="66" spans="1:11" ht="15.5" x14ac:dyDescent="0.7">
      <c r="A66" s="443" t="s">
        <v>436</v>
      </c>
      <c r="B66" s="168"/>
      <c r="C66" s="168"/>
      <c r="D66" s="189"/>
      <c r="E66" s="189"/>
      <c r="F66" s="198"/>
      <c r="G66" s="198"/>
      <c r="H66" s="199"/>
      <c r="I66" s="199"/>
      <c r="J66" s="160"/>
      <c r="K66" s="41"/>
    </row>
    <row r="67" spans="1:11" ht="5.15" customHeight="1" x14ac:dyDescent="0.7">
      <c r="A67" s="158"/>
      <c r="B67" s="168"/>
      <c r="C67" s="168"/>
      <c r="D67" s="189"/>
      <c r="E67" s="189"/>
      <c r="F67" s="198"/>
      <c r="G67" s="198"/>
      <c r="H67" s="199"/>
      <c r="I67" s="199"/>
      <c r="J67" s="160"/>
      <c r="K67" s="41"/>
    </row>
    <row r="68" spans="1:11" x14ac:dyDescent="0.6">
      <c r="A68" s="453" t="s">
        <v>291</v>
      </c>
      <c r="B68" s="168"/>
      <c r="C68" s="168"/>
      <c r="D68" s="189"/>
      <c r="E68" s="189"/>
      <c r="F68" s="198"/>
      <c r="G68" s="198"/>
      <c r="H68" s="199"/>
      <c r="I68" s="199"/>
      <c r="J68" s="160"/>
      <c r="K68" s="41"/>
    </row>
    <row r="69" spans="1:11" x14ac:dyDescent="0.6">
      <c r="A69" s="82" t="s">
        <v>173</v>
      </c>
      <c r="B69" s="6"/>
      <c r="C69" s="6"/>
      <c r="D69" s="52"/>
      <c r="E69" s="52"/>
      <c r="F69" s="86"/>
      <c r="G69" s="86"/>
      <c r="H69" s="104"/>
      <c r="I69" s="54"/>
      <c r="J69" s="39"/>
      <c r="K69" s="88"/>
    </row>
    <row r="70" spans="1:11" x14ac:dyDescent="0.6">
      <c r="A70" s="338" t="s">
        <v>130</v>
      </c>
      <c r="B70" s="105">
        <f>SUM(B8,B39)</f>
        <v>0</v>
      </c>
      <c r="C70" s="292"/>
      <c r="D70" s="196">
        <f>SUM(D8,D39)</f>
        <v>0</v>
      </c>
      <c r="E70" s="292"/>
      <c r="F70" s="83" t="str">
        <f>IF(ISERROR(D70/B70),"n/a",D70/B70)</f>
        <v>n/a</v>
      </c>
      <c r="G70" s="92"/>
      <c r="H70" s="54"/>
      <c r="I70" s="54"/>
      <c r="J70" s="196">
        <f>SUM(J8,J39)</f>
        <v>0</v>
      </c>
      <c r="K70" s="83" t="str">
        <f>IF(ISERROR(J70/B70),"n/a",J70/B70)</f>
        <v>n/a</v>
      </c>
    </row>
    <row r="71" spans="1:11" x14ac:dyDescent="0.6">
      <c r="A71" s="338" t="s">
        <v>292</v>
      </c>
      <c r="B71" s="105">
        <f>SUM(B9,B40)</f>
        <v>157107.22588046384</v>
      </c>
      <c r="C71" s="292"/>
      <c r="D71" s="196">
        <f>SUM(D9,D40)</f>
        <v>25462.081929238586</v>
      </c>
      <c r="E71" s="292"/>
      <c r="F71" s="83">
        <f>IF(ISERROR(D71/B71),"n/a",D71/B71)</f>
        <v>0.16206817851020802</v>
      </c>
      <c r="G71" s="92"/>
      <c r="H71" s="54"/>
      <c r="I71" s="54"/>
      <c r="J71" s="196">
        <f>SUM(J9,J40)</f>
        <v>44601.219204060872</v>
      </c>
      <c r="K71" s="83">
        <f>IF(ISERROR(J71/B71),"n/a",J71/B71)</f>
        <v>0.28389031092685724</v>
      </c>
    </row>
    <row r="72" spans="1:11" ht="5.15" customHeight="1" x14ac:dyDescent="0.6">
      <c r="A72" s="89"/>
      <c r="B72" s="200"/>
      <c r="C72" s="200"/>
      <c r="D72" s="196"/>
      <c r="E72" s="200"/>
      <c r="F72" s="201"/>
      <c r="G72" s="198"/>
      <c r="H72" s="199"/>
      <c r="I72" s="199"/>
      <c r="J72" s="196"/>
      <c r="K72" s="83"/>
    </row>
    <row r="73" spans="1:11" x14ac:dyDescent="0.6">
      <c r="A73" s="82" t="s">
        <v>176</v>
      </c>
      <c r="B73" s="135"/>
      <c r="C73" s="135"/>
      <c r="D73" s="196"/>
      <c r="E73" s="135"/>
      <c r="F73" s="92"/>
      <c r="G73" s="48"/>
      <c r="H73" s="48"/>
      <c r="I73" s="48"/>
      <c r="J73" s="196"/>
      <c r="K73" s="92"/>
    </row>
    <row r="74" spans="1:11" x14ac:dyDescent="0.6">
      <c r="A74" s="338" t="s">
        <v>130</v>
      </c>
      <c r="B74" s="105">
        <f>SUM(B12,B43)</f>
        <v>0</v>
      </c>
      <c r="C74" s="292"/>
      <c r="D74" s="196">
        <f>SUM(D12,D43)</f>
        <v>0</v>
      </c>
      <c r="E74" s="292"/>
      <c r="F74" s="83" t="str">
        <f>IF(ISERROR(D74/B74),"n/a",D74/B74)</f>
        <v>n/a</v>
      </c>
      <c r="G74" s="92"/>
      <c r="H74" s="54"/>
      <c r="I74" s="54"/>
      <c r="J74" s="196">
        <f>SUM(J12,J43)</f>
        <v>0</v>
      </c>
      <c r="K74" s="83" t="str">
        <f>IF(ISERROR(J74/B74),"n/a",J74/B74)</f>
        <v>n/a</v>
      </c>
    </row>
    <row r="75" spans="1:11" x14ac:dyDescent="0.6">
      <c r="A75" s="338" t="s">
        <v>292</v>
      </c>
      <c r="B75" s="105">
        <f>SUM(B13,B44)</f>
        <v>55261.283664388269</v>
      </c>
      <c r="C75" s="292"/>
      <c r="D75" s="196">
        <f>SUM(D13,D44)</f>
        <v>16438.515090361136</v>
      </c>
      <c r="E75" s="292"/>
      <c r="F75" s="83">
        <f>IF(ISERROR(D75/B75),"n/a",D75/B75)</f>
        <v>0.29746893304533423</v>
      </c>
      <c r="G75" s="92"/>
      <c r="H75" s="54"/>
      <c r="I75" s="54"/>
      <c r="J75" s="196">
        <f>SUM(J13,J44)</f>
        <v>28794.888688679363</v>
      </c>
      <c r="K75" s="83">
        <f>IF(ISERROR(J75/B75),"n/a",J75/B75)</f>
        <v>0.52106803858476958</v>
      </c>
    </row>
    <row r="76" spans="1:11" ht="5.15" customHeight="1" x14ac:dyDescent="0.6">
      <c r="A76" s="89"/>
      <c r="B76" s="200"/>
      <c r="C76" s="200"/>
      <c r="D76" s="204"/>
      <c r="E76" s="200"/>
      <c r="F76" s="201"/>
      <c r="G76" s="198"/>
      <c r="H76" s="199"/>
      <c r="I76" s="199"/>
      <c r="J76" s="204"/>
      <c r="K76" s="83"/>
    </row>
    <row r="77" spans="1:11" x14ac:dyDescent="0.6">
      <c r="A77" s="338" t="s">
        <v>177</v>
      </c>
      <c r="B77" s="44">
        <f>SUM(B70:B71)</f>
        <v>157107.22588046384</v>
      </c>
      <c r="C77" s="44"/>
      <c r="D77" s="196">
        <f>SUM(D70:D71)</f>
        <v>25462.081929238586</v>
      </c>
      <c r="E77" s="44"/>
      <c r="F77" s="83">
        <f>IF(ISERROR(D77/B77),"n/a",D77/B77)</f>
        <v>0.16206817851020802</v>
      </c>
      <c r="G77" s="41"/>
      <c r="H77" s="75"/>
      <c r="I77" s="75"/>
      <c r="J77" s="196">
        <f>SUM(J70:J71)</f>
        <v>44601.219204060872</v>
      </c>
      <c r="K77" s="83">
        <f>IF(ISERROR(J77/B77),"n/a",J77/B77)</f>
        <v>0.28389031092685724</v>
      </c>
    </row>
    <row r="78" spans="1:11" x14ac:dyDescent="0.6">
      <c r="A78" s="338" t="s">
        <v>178</v>
      </c>
      <c r="B78" s="44">
        <f>SUM(B74:B75)</f>
        <v>55261.283664388269</v>
      </c>
      <c r="C78" s="44"/>
      <c r="D78" s="196">
        <f>SUM(D74:D75)</f>
        <v>16438.515090361136</v>
      </c>
      <c r="E78" s="44"/>
      <c r="F78" s="83">
        <f>IF(ISERROR(D78/B78),"n/a",D78/B78)</f>
        <v>0.29746893304533423</v>
      </c>
      <c r="G78" s="202"/>
      <c r="H78" s="203"/>
      <c r="I78" s="203"/>
      <c r="J78" s="196">
        <f>SUM(J74:J75)</f>
        <v>28794.888688679363</v>
      </c>
      <c r="K78" s="83">
        <f>IF(ISERROR(J78/B78),"n/a",J78/B78)</f>
        <v>0.52106803858476958</v>
      </c>
    </row>
    <row r="79" spans="1:11" x14ac:dyDescent="0.6">
      <c r="A79" s="338" t="s">
        <v>102</v>
      </c>
      <c r="B79" s="44">
        <f>B77</f>
        <v>157107.22588046384</v>
      </c>
      <c r="C79" s="44"/>
      <c r="D79" s="196">
        <f>SUM(D78,D77)</f>
        <v>41900.597019599722</v>
      </c>
      <c r="E79" s="44"/>
      <c r="F79" s="83">
        <f>IF(ISERROR(D79/B79),"n/a",D79/B79)</f>
        <v>0.2667006357268385</v>
      </c>
      <c r="G79" s="41"/>
      <c r="H79" s="75"/>
      <c r="I79" s="75"/>
      <c r="J79" s="196">
        <f>SUM(J78,J77)</f>
        <v>73396.107892740227</v>
      </c>
      <c r="K79" s="83">
        <f>IF(ISERROR(J79/B79),"n/a",J79/B79)</f>
        <v>0.46717206978490078</v>
      </c>
    </row>
    <row r="80" spans="1:11" x14ac:dyDescent="0.6">
      <c r="A80" s="16"/>
      <c r="B80" s="44"/>
      <c r="C80" s="44"/>
      <c r="D80" s="196"/>
      <c r="E80" s="44"/>
      <c r="F80" s="83"/>
      <c r="G80" s="41"/>
      <c r="H80" s="75"/>
      <c r="I80" s="75"/>
      <c r="J80" s="196"/>
      <c r="K80" s="83"/>
    </row>
    <row r="81" spans="1:14" x14ac:dyDescent="0.6">
      <c r="A81" s="15" t="s">
        <v>782</v>
      </c>
      <c r="B81" s="44"/>
      <c r="C81" s="285"/>
      <c r="D81" s="196"/>
      <c r="E81" s="285"/>
      <c r="F81" s="83"/>
      <c r="G81" s="41"/>
      <c r="H81" s="54"/>
      <c r="I81" s="75"/>
      <c r="J81" s="196"/>
      <c r="K81" s="83"/>
    </row>
    <row r="82" spans="1:14" x14ac:dyDescent="0.6">
      <c r="A82" s="82" t="s">
        <v>173</v>
      </c>
      <c r="B82" s="44"/>
      <c r="C82" s="285"/>
      <c r="D82" s="196"/>
      <c r="E82" s="285"/>
      <c r="F82" s="83"/>
      <c r="G82" s="41"/>
      <c r="H82" s="54"/>
      <c r="I82" s="75"/>
      <c r="J82" s="196"/>
      <c r="K82" s="83"/>
    </row>
    <row r="83" spans="1:14" x14ac:dyDescent="0.6">
      <c r="A83" s="338" t="s">
        <v>130</v>
      </c>
      <c r="B83" s="105">
        <f>SUM(B21,B52)</f>
        <v>0</v>
      </c>
      <c r="C83" s="292"/>
      <c r="D83" s="196">
        <f>SUM(D21,D52)</f>
        <v>0</v>
      </c>
      <c r="E83" s="292"/>
      <c r="F83" s="83" t="str">
        <f>IF(ISERROR(D83/B83),"n/a",D83/B83)</f>
        <v>n/a</v>
      </c>
      <c r="G83" s="41"/>
      <c r="H83" s="54"/>
      <c r="I83" s="75"/>
      <c r="J83" s="196">
        <f>SUM(J21,J52)</f>
        <v>0</v>
      </c>
      <c r="K83" s="83" t="str">
        <f>IF(ISERROR(J83/B83),"n/a",J83/B83)</f>
        <v>n/a</v>
      </c>
    </row>
    <row r="84" spans="1:14" x14ac:dyDescent="0.6">
      <c r="A84" s="338" t="s">
        <v>292</v>
      </c>
      <c r="B84" s="105">
        <f>SUM(B22,B53)</f>
        <v>45222.325676482636</v>
      </c>
      <c r="C84" s="292"/>
      <c r="D84" s="196">
        <f>SUM(D22,D53)</f>
        <v>589.20192559394923</v>
      </c>
      <c r="E84" s="292"/>
      <c r="F84" s="83">
        <f>IF(ISERROR(D84/B84),"n/a",D84/B84)</f>
        <v>1.3029005403416416E-2</v>
      </c>
      <c r="G84" s="41"/>
      <c r="H84" s="54"/>
      <c r="I84" s="75"/>
      <c r="J84" s="196">
        <f>SUM(J22,J53)</f>
        <v>1032.0885900808323</v>
      </c>
      <c r="K84" s="83">
        <f>IF(ISERROR(J84/B84),"n/a",J84/B84)</f>
        <v>2.282254560422925E-2</v>
      </c>
    </row>
    <row r="85" spans="1:14" ht="5.15" customHeight="1" x14ac:dyDescent="0.6">
      <c r="A85" s="89"/>
      <c r="B85" s="44"/>
      <c r="C85" s="285"/>
      <c r="D85" s="196"/>
      <c r="E85" s="285"/>
      <c r="F85" s="83"/>
      <c r="G85" s="41"/>
      <c r="H85" s="54"/>
      <c r="I85" s="75"/>
      <c r="J85" s="196"/>
      <c r="K85" s="83"/>
    </row>
    <row r="86" spans="1:14" x14ac:dyDescent="0.6">
      <c r="A86" s="82" t="s">
        <v>176</v>
      </c>
      <c r="B86" s="44"/>
      <c r="C86" s="285"/>
      <c r="D86" s="196"/>
      <c r="E86" s="285"/>
      <c r="F86" s="83"/>
      <c r="G86" s="41"/>
      <c r="H86" s="54"/>
      <c r="I86" s="75"/>
      <c r="J86" s="196"/>
      <c r="K86" s="83"/>
    </row>
    <row r="87" spans="1:14" x14ac:dyDescent="0.6">
      <c r="A87" s="338" t="s">
        <v>130</v>
      </c>
      <c r="B87" s="105">
        <f>SUM(B25,B56)</f>
        <v>0</v>
      </c>
      <c r="C87" s="292"/>
      <c r="D87" s="196">
        <f>SUM(D25,D56)</f>
        <v>0</v>
      </c>
      <c r="E87" s="292"/>
      <c r="F87" s="83" t="str">
        <f>IF(ISERROR(D87/B87),"n/a",D87/B87)</f>
        <v>n/a</v>
      </c>
      <c r="G87" s="41"/>
      <c r="H87" s="54"/>
      <c r="I87" s="75"/>
      <c r="J87" s="196">
        <f>SUM(J25,J56)</f>
        <v>0</v>
      </c>
      <c r="K87" s="83" t="str">
        <f>IF(ISERROR(J87/B87),"n/a",J87/B87)</f>
        <v>n/a</v>
      </c>
    </row>
    <row r="88" spans="1:14" x14ac:dyDescent="0.6">
      <c r="A88" s="338" t="s">
        <v>292</v>
      </c>
      <c r="B88" s="105">
        <f>SUM(B26,B57)</f>
        <v>45222.325676482636</v>
      </c>
      <c r="C88" s="292"/>
      <c r="D88" s="196">
        <f>SUM(D26,D57)</f>
        <v>10797.768366657685</v>
      </c>
      <c r="E88" s="292"/>
      <c r="F88" s="83">
        <f>IF(ISERROR(D88/B88),"n/a",D88/B88)</f>
        <v>0.23877074443061966</v>
      </c>
      <c r="G88" s="41"/>
      <c r="H88" s="54"/>
      <c r="I88" s="75"/>
      <c r="J88" s="196">
        <f>SUM(J26,J57)</f>
        <v>18914.149878802749</v>
      </c>
      <c r="K88" s="83">
        <f>IF(ISERROR(J88/B88),"n/a",J88/B88)</f>
        <v>0.41824805769860796</v>
      </c>
    </row>
    <row r="89" spans="1:14" ht="5.15" customHeight="1" x14ac:dyDescent="0.6">
      <c r="A89" s="89"/>
      <c r="B89" s="44"/>
      <c r="C89" s="285"/>
      <c r="D89" s="196"/>
      <c r="E89" s="285"/>
      <c r="F89" s="83"/>
      <c r="G89" s="41"/>
      <c r="H89" s="54"/>
      <c r="I89" s="75"/>
      <c r="J89" s="196"/>
      <c r="K89" s="83"/>
    </row>
    <row r="90" spans="1:14" x14ac:dyDescent="0.6">
      <c r="A90" s="338" t="s">
        <v>177</v>
      </c>
      <c r="B90" s="44">
        <f>SUM(B83:B84)</f>
        <v>45222.325676482636</v>
      </c>
      <c r="C90" s="285"/>
      <c r="D90" s="196">
        <f>SUM(D83:D84)</f>
        <v>589.20192559394923</v>
      </c>
      <c r="E90" s="285"/>
      <c r="F90" s="83">
        <f>IF(ISERROR(D90/B90),"n/a",D90/B90)</f>
        <v>1.3029005403416416E-2</v>
      </c>
      <c r="G90" s="41"/>
      <c r="H90" s="54"/>
      <c r="I90" s="75"/>
      <c r="J90" s="196">
        <f>SUM(J83:J84)</f>
        <v>1032.0885900808323</v>
      </c>
      <c r="K90" s="83">
        <f>IF(ISERROR(J90/B90),"n/a",J90/B90)</f>
        <v>2.282254560422925E-2</v>
      </c>
    </row>
    <row r="91" spans="1:14" x14ac:dyDescent="0.6">
      <c r="A91" s="338" t="s">
        <v>178</v>
      </c>
      <c r="B91" s="44">
        <f>SUM(B87:B88)</f>
        <v>45222.325676482636</v>
      </c>
      <c r="C91" s="285"/>
      <c r="D91" s="196">
        <f>SUM(D87:D88)</f>
        <v>10797.768366657685</v>
      </c>
      <c r="E91" s="285"/>
      <c r="F91" s="83">
        <f>IF(ISERROR(D91/B91),"n/a",D91/B91)</f>
        <v>0.23877074443061966</v>
      </c>
      <c r="G91" s="41"/>
      <c r="H91" s="54"/>
      <c r="I91" s="75"/>
      <c r="J91" s="196">
        <f>SUM(J87:J88)</f>
        <v>18914.149878802749</v>
      </c>
      <c r="K91" s="83">
        <f>IF(ISERROR(J91/B91),"n/a",J91/B91)</f>
        <v>0.41824805769860796</v>
      </c>
    </row>
    <row r="92" spans="1:14" x14ac:dyDescent="0.6">
      <c r="A92" s="338" t="s">
        <v>102</v>
      </c>
      <c r="B92" s="44">
        <f>B91</f>
        <v>45222.325676482636</v>
      </c>
      <c r="C92" s="285"/>
      <c r="D92" s="196">
        <f>SUM(D90:D91)</f>
        <v>11386.970292251634</v>
      </c>
      <c r="E92" s="285"/>
      <c r="F92" s="83">
        <f>IF(ISERROR(D92/B92),"n/a",D92/B92)</f>
        <v>0.25179974983403608</v>
      </c>
      <c r="G92" s="41"/>
      <c r="H92" s="54"/>
      <c r="I92" s="75"/>
      <c r="J92" s="196">
        <f>SUM(J90:J91)</f>
        <v>19946.238468883581</v>
      </c>
      <c r="K92" s="83">
        <f>IF(ISERROR(J92/B92),"n/a",J92/B92)</f>
        <v>0.44107060330283721</v>
      </c>
    </row>
    <row r="93" spans="1:14" hidden="1" x14ac:dyDescent="0.6">
      <c r="A93" s="338"/>
      <c r="B93" s="44"/>
      <c r="C93" s="285"/>
      <c r="D93" s="196"/>
      <c r="E93" s="285"/>
      <c r="F93" s="83"/>
      <c r="G93" s="41"/>
      <c r="H93" s="54"/>
      <c r="I93" s="75"/>
      <c r="J93" s="46"/>
      <c r="K93" s="83"/>
    </row>
    <row r="94" spans="1:14" hidden="1" x14ac:dyDescent="0.6">
      <c r="A94" s="338"/>
      <c r="B94" s="44"/>
      <c r="C94" s="285"/>
      <c r="D94" s="196"/>
      <c r="E94" s="285"/>
      <c r="F94" s="83"/>
      <c r="G94" s="41"/>
      <c r="H94" s="54"/>
      <c r="I94" s="75"/>
      <c r="J94" s="46"/>
      <c r="K94" s="83"/>
    </row>
    <row r="95" spans="1:14" hidden="1" x14ac:dyDescent="0.6">
      <c r="A95" s="140"/>
      <c r="B95" s="547" t="s">
        <v>193</v>
      </c>
      <c r="C95" s="547"/>
      <c r="D95" s="196"/>
      <c r="E95" s="285"/>
      <c r="F95" s="83"/>
      <c r="G95" s="41"/>
      <c r="H95" s="54"/>
      <c r="I95" s="75"/>
      <c r="J95" s="46"/>
      <c r="K95" s="83"/>
    </row>
    <row r="96" spans="1:14" hidden="1" x14ac:dyDescent="0.6">
      <c r="A96" s="140"/>
      <c r="B96" s="547" t="s">
        <v>194</v>
      </c>
      <c r="C96" s="547"/>
      <c r="D96" s="31">
        <f>SUM(D9,D13)</f>
        <v>33022.210376988325</v>
      </c>
      <c r="E96" s="31"/>
      <c r="F96" s="31">
        <f>'Table 3.20-CFS Non-CIOSS'!C91-'Table 3.20-CFS Non-CIOSS'!C94</f>
        <v>33022.210376988332</v>
      </c>
      <c r="G96" s="129"/>
      <c r="H96" s="128">
        <f>D96-F96</f>
        <v>0</v>
      </c>
      <c r="I96" s="11"/>
      <c r="J96" s="11"/>
      <c r="K96" s="31">
        <f>D40+D44</f>
        <v>8878.3866426113927</v>
      </c>
      <c r="L96" s="53">
        <f>'Table 3.21-CFS CIOSS Rejs'!C91-'Table 3.21-CFS CIOSS Rejs'!C94</f>
        <v>8878.3866426113927</v>
      </c>
      <c r="M96" s="128">
        <f>K96-L96</f>
        <v>0</v>
      </c>
      <c r="N96" s="357"/>
    </row>
    <row r="97" spans="1:14" hidden="1" x14ac:dyDescent="0.6">
      <c r="A97" s="140"/>
      <c r="B97" s="547" t="s">
        <v>195</v>
      </c>
      <c r="C97" s="547"/>
      <c r="D97" s="31">
        <f>SUM(D96:D96)</f>
        <v>33022.210376988325</v>
      </c>
      <c r="E97" s="31"/>
      <c r="F97" s="31">
        <f>SUM(F96:F96)</f>
        <v>33022.210376988332</v>
      </c>
      <c r="G97" s="129"/>
      <c r="H97" s="128">
        <f>D97-F97</f>
        <v>0</v>
      </c>
      <c r="I97" s="11"/>
      <c r="J97" s="11"/>
      <c r="K97" s="31">
        <f>SUM(K96:K96)</f>
        <v>8878.3866426113927</v>
      </c>
      <c r="L97" s="31">
        <f>SUM(L96:L96)</f>
        <v>8878.3866426113927</v>
      </c>
      <c r="M97" s="128">
        <f>K97-L97</f>
        <v>0</v>
      </c>
      <c r="N97" s="357"/>
    </row>
    <row r="98" spans="1:14" hidden="1" x14ac:dyDescent="0.6">
      <c r="B98" s="11"/>
      <c r="C98" s="11"/>
      <c r="D98" s="11"/>
      <c r="E98" s="11"/>
      <c r="F98" s="11"/>
      <c r="G98" s="11"/>
      <c r="H98" s="11"/>
      <c r="I98" s="11"/>
      <c r="J98" s="11"/>
      <c r="K98" s="11"/>
    </row>
    <row r="99" spans="1:14" hidden="1" x14ac:dyDescent="0.6">
      <c r="A99" s="347" t="s">
        <v>198</v>
      </c>
      <c r="B99" s="138">
        <f>SUM(B8:B9)-SUM('Table 3.20-CFS Non-CIOSS'!B9,'Table 3.20-CFS Non-CIOSS'!B14,'Table 3.20-CFS Non-CIOSS'!B19)</f>
        <v>0</v>
      </c>
      <c r="C99" s="352"/>
      <c r="D99" s="11"/>
      <c r="E99" s="11"/>
      <c r="F99" s="11"/>
      <c r="G99" s="11"/>
      <c r="H99" s="11"/>
      <c r="I99" s="11"/>
      <c r="J99" s="138">
        <f>SUM(B39:B40)-SUM('Table 3.21-CFS CIOSS Rejs'!B9,'Table 3.21-CFS CIOSS Rejs'!B14,'Table 3.21-CFS CIOSS Rejs'!B19)</f>
        <v>0</v>
      </c>
      <c r="K99" s="11"/>
    </row>
    <row r="100" spans="1:14" hidden="1" x14ac:dyDescent="0.6">
      <c r="A100" s="347" t="s">
        <v>206</v>
      </c>
      <c r="B100" s="138">
        <f>SUM(B12:B13)-SUM('Table 3.20-CFS Non-CIOSS'!B25,'Table 3.20-CFS Non-CIOSS'!B30,'Table 3.20-CFS Non-CIOSS'!B35)</f>
        <v>0</v>
      </c>
      <c r="C100" s="352"/>
      <c r="D100" s="11"/>
      <c r="E100" s="11"/>
      <c r="F100" s="11"/>
      <c r="G100" s="11"/>
      <c r="H100" s="11"/>
      <c r="I100" s="11"/>
      <c r="J100" s="138">
        <f>SUM(B43:B44)-SUM('Table 3.21-CFS CIOSS Rejs'!B25,'Table 3.21-CFS CIOSS Rejs'!B30,'Table 3.21-CFS CIOSS Rejs'!B35)</f>
        <v>0</v>
      </c>
    </row>
    <row r="101" spans="1:14" hidden="1" x14ac:dyDescent="0.6">
      <c r="A101" s="347"/>
      <c r="B101" s="352"/>
      <c r="C101" s="352"/>
      <c r="D101" s="11"/>
      <c r="E101" s="11"/>
      <c r="F101" s="11"/>
      <c r="G101" s="11"/>
      <c r="H101" s="11"/>
      <c r="I101" s="11"/>
      <c r="J101" s="11"/>
    </row>
    <row r="102" spans="1:14" hidden="1" x14ac:dyDescent="0.6">
      <c r="A102" s="347"/>
      <c r="B102" s="350" t="s">
        <v>301</v>
      </c>
      <c r="C102" s="352"/>
      <c r="D102" s="31">
        <f>D21+D25</f>
        <v>0</v>
      </c>
      <c r="E102" s="31"/>
      <c r="F102" s="31">
        <v>0</v>
      </c>
      <c r="G102" s="11"/>
      <c r="H102" s="128">
        <f>D102-F102</f>
        <v>0</v>
      </c>
      <c r="I102" s="11"/>
      <c r="J102" s="11"/>
      <c r="K102" s="31">
        <f>D52+D56</f>
        <v>0</v>
      </c>
      <c r="M102" s="128">
        <f>K102-L102</f>
        <v>0</v>
      </c>
    </row>
    <row r="103" spans="1:14" hidden="1" x14ac:dyDescent="0.6">
      <c r="A103" s="347"/>
      <c r="B103" s="350" t="s">
        <v>302</v>
      </c>
      <c r="C103" s="352"/>
      <c r="D103" s="31">
        <f>D22+D26</f>
        <v>9992.4441103655081</v>
      </c>
      <c r="E103" s="31"/>
      <c r="F103" s="31">
        <v>9992.4441103655081</v>
      </c>
      <c r="G103" s="11"/>
      <c r="H103" s="128">
        <f>D103-F103</f>
        <v>0</v>
      </c>
      <c r="I103" s="11"/>
      <c r="J103" s="11"/>
      <c r="K103" s="31">
        <f>D53+D57</f>
        <v>1394.5261818861259</v>
      </c>
      <c r="L103" s="31">
        <v>1394.5261818861259</v>
      </c>
      <c r="M103" s="128">
        <f>K103-L103</f>
        <v>0</v>
      </c>
    </row>
    <row r="104" spans="1:14" hidden="1" x14ac:dyDescent="0.6">
      <c r="A104" s="347"/>
      <c r="B104" s="350" t="s">
        <v>303</v>
      </c>
      <c r="C104" s="352"/>
      <c r="D104" s="31">
        <f>D30</f>
        <v>9992.4441103655081</v>
      </c>
      <c r="E104" s="31"/>
      <c r="F104" s="31">
        <v>9992.4441103655081</v>
      </c>
      <c r="G104" s="11"/>
      <c r="H104" s="128">
        <f>D104-F104</f>
        <v>0</v>
      </c>
      <c r="I104" s="11"/>
      <c r="J104" s="11"/>
      <c r="K104" s="53">
        <f>SUM(K102:K103)</f>
        <v>1394.5261818861259</v>
      </c>
      <c r="L104" s="53">
        <f>SUM(L102:L103)</f>
        <v>1394.5261818861259</v>
      </c>
      <c r="M104" s="128">
        <f>K104-L104</f>
        <v>0</v>
      </c>
    </row>
    <row r="105" spans="1:14" hidden="1" x14ac:dyDescent="0.6">
      <c r="A105" s="347"/>
      <c r="B105" s="350"/>
      <c r="C105" s="352"/>
      <c r="D105" s="31"/>
      <c r="E105" s="31"/>
      <c r="F105" s="31"/>
      <c r="G105" s="11"/>
      <c r="H105" s="349"/>
      <c r="I105" s="11"/>
      <c r="J105" s="11"/>
      <c r="K105" s="11"/>
    </row>
    <row r="106" spans="1:14" hidden="1" x14ac:dyDescent="0.6">
      <c r="A106" s="350" t="s">
        <v>306</v>
      </c>
      <c r="B106" s="346">
        <f>B21-'Table 3.20-CFS Non-CIOSS'!B69-'Table 3.20-CFS Non-CIOSS'!B74</f>
        <v>0</v>
      </c>
      <c r="C106" s="352"/>
      <c r="D106" s="31"/>
      <c r="E106" s="31"/>
      <c r="F106" s="31"/>
      <c r="G106" s="11"/>
      <c r="H106" s="128">
        <f>B52-'Table 3.21-CFS CIOSS Rejs'!B69-'Table 3.21-CFS CIOSS Rejs'!B74</f>
        <v>0</v>
      </c>
      <c r="I106" s="11"/>
      <c r="J106" s="11"/>
      <c r="K106" s="11"/>
    </row>
    <row r="107" spans="1:14" hidden="1" x14ac:dyDescent="0.6">
      <c r="A107" s="350" t="s">
        <v>304</v>
      </c>
      <c r="B107" s="346">
        <f>B22-'Table 3.20-CFS Non-CIOSS'!B70-'Table 3.20-CFS Non-CIOSS'!B75</f>
        <v>0</v>
      </c>
      <c r="C107" s="352"/>
      <c r="D107" s="31"/>
      <c r="E107" s="31"/>
      <c r="F107" s="31"/>
      <c r="G107" s="11"/>
      <c r="H107" s="128">
        <f>B53-'Table 3.21-CFS CIOSS Rejs'!B70-'Table 3.21-CFS CIOSS Rejs'!B75</f>
        <v>0</v>
      </c>
      <c r="I107" s="11"/>
      <c r="J107" s="11"/>
      <c r="K107" s="11"/>
    </row>
    <row r="108" spans="1:14" hidden="1" x14ac:dyDescent="0.6">
      <c r="A108" s="350" t="s">
        <v>305</v>
      </c>
      <c r="B108" s="346">
        <f>B30-'Table 3.20-CFS Non-CIOSS'!B71-'Table 3.20-CFS Non-CIOSS'!B76</f>
        <v>0</v>
      </c>
      <c r="C108" s="66"/>
      <c r="D108" s="4"/>
      <c r="E108" s="4"/>
      <c r="F108" s="4"/>
      <c r="G108" s="11"/>
      <c r="H108" s="128">
        <f>B61-'Table 3.21-CFS CIOSS Rejs'!B71-'Table 3.21-CFS CIOSS Rejs'!B76</f>
        <v>0</v>
      </c>
      <c r="I108" s="11"/>
      <c r="J108" s="11"/>
      <c r="K108" s="11"/>
    </row>
    <row r="109" spans="1:14" hidden="1" x14ac:dyDescent="0.6">
      <c r="A109" s="350"/>
      <c r="B109" s="350"/>
      <c r="C109" s="66"/>
      <c r="D109" s="66"/>
      <c r="E109" s="66"/>
      <c r="F109" s="66"/>
      <c r="G109" s="140"/>
      <c r="H109" s="349"/>
      <c r="I109" s="11"/>
      <c r="J109" s="11"/>
      <c r="K109" s="11"/>
    </row>
    <row r="110" spans="1:14" hidden="1" x14ac:dyDescent="0.6">
      <c r="A110" s="350" t="s">
        <v>437</v>
      </c>
      <c r="B110" s="346">
        <v>0</v>
      </c>
      <c r="C110" s="66"/>
      <c r="D110" s="346">
        <v>0</v>
      </c>
      <c r="E110" s="66"/>
      <c r="F110" s="66"/>
      <c r="G110" s="140"/>
      <c r="H110" s="349"/>
      <c r="I110" s="11"/>
      <c r="J110" s="11"/>
      <c r="K110" s="11"/>
    </row>
    <row r="111" spans="1:14" hidden="1" x14ac:dyDescent="0.6">
      <c r="A111" s="350" t="s">
        <v>438</v>
      </c>
      <c r="B111" s="346">
        <v>0</v>
      </c>
      <c r="C111" s="350"/>
      <c r="D111" s="346">
        <v>0</v>
      </c>
      <c r="E111" s="66"/>
      <c r="F111" s="66"/>
      <c r="G111" s="140"/>
      <c r="H111" s="349"/>
      <c r="I111" s="11"/>
      <c r="J111" s="11"/>
      <c r="K111" s="11"/>
    </row>
    <row r="112" spans="1:14" x14ac:dyDescent="0.6">
      <c r="A112" s="351"/>
      <c r="B112" s="141"/>
      <c r="C112" s="141"/>
      <c r="D112" s="141"/>
      <c r="E112" s="141"/>
      <c r="F112" s="141"/>
      <c r="G112" s="11"/>
      <c r="H112" s="11"/>
      <c r="I112" s="11"/>
      <c r="J112" s="11"/>
      <c r="K112" s="11"/>
    </row>
    <row r="113" spans="1:11" x14ac:dyDescent="0.6">
      <c r="A113" s="11" t="s">
        <v>235</v>
      </c>
      <c r="B113" s="11"/>
      <c r="C113" s="11"/>
      <c r="D113" s="11"/>
      <c r="E113" s="11"/>
      <c r="F113" s="11"/>
      <c r="G113" s="11"/>
      <c r="H113" s="11"/>
      <c r="I113" s="11"/>
      <c r="J113" s="11"/>
      <c r="K113" s="11"/>
    </row>
    <row r="114" spans="1:11" x14ac:dyDescent="0.6">
      <c r="A114" s="25" t="s">
        <v>788</v>
      </c>
      <c r="B114" s="11"/>
      <c r="C114" s="11"/>
      <c r="D114" s="11"/>
      <c r="E114" s="11"/>
      <c r="F114" s="11"/>
      <c r="G114" s="11"/>
      <c r="H114" s="11"/>
      <c r="I114" s="11"/>
      <c r="J114" s="11"/>
      <c r="K114" s="11"/>
    </row>
    <row r="115" spans="1:11" x14ac:dyDescent="0.6">
      <c r="A115" s="25" t="s">
        <v>649</v>
      </c>
      <c r="B115" s="11"/>
      <c r="C115" s="11"/>
      <c r="D115" s="11"/>
      <c r="E115" s="11"/>
      <c r="F115" s="11"/>
      <c r="G115" s="11"/>
      <c r="H115" s="11"/>
      <c r="I115" s="11"/>
      <c r="J115" s="11"/>
      <c r="K115" s="11"/>
    </row>
    <row r="116" spans="1:11" x14ac:dyDescent="0.6">
      <c r="A116" s="25" t="s">
        <v>801</v>
      </c>
      <c r="B116" s="11"/>
      <c r="C116" s="11"/>
      <c r="D116" s="11"/>
      <c r="E116" s="11"/>
      <c r="F116" s="11"/>
      <c r="G116" s="11"/>
      <c r="H116" s="11"/>
      <c r="I116" s="11"/>
      <c r="J116" s="11"/>
      <c r="K116" s="11"/>
    </row>
    <row r="117" spans="1:11" x14ac:dyDescent="0.6">
      <c r="A117" s="25" t="s">
        <v>93</v>
      </c>
      <c r="B117" s="11"/>
      <c r="C117" s="11"/>
      <c r="D117" s="11"/>
      <c r="E117" s="11"/>
      <c r="F117" s="11"/>
      <c r="G117" s="11"/>
      <c r="H117" s="11"/>
      <c r="I117" s="11"/>
      <c r="J117" s="11"/>
      <c r="K117" s="11"/>
    </row>
    <row r="118" spans="1:11" x14ac:dyDescent="0.6">
      <c r="B118" s="11"/>
      <c r="C118" s="11"/>
      <c r="D118" s="11"/>
      <c r="E118" s="11"/>
      <c r="F118" s="11"/>
      <c r="G118" s="11"/>
      <c r="H118" s="11"/>
      <c r="I118" s="11"/>
      <c r="J118" s="11"/>
      <c r="K118" s="11"/>
    </row>
    <row r="119" spans="1:11" x14ac:dyDescent="0.6">
      <c r="B119" s="11"/>
      <c r="C119" s="11"/>
      <c r="D119" s="11"/>
      <c r="E119" s="11"/>
      <c r="F119" s="11"/>
      <c r="G119" s="11"/>
      <c r="H119" s="11"/>
      <c r="I119" s="11"/>
      <c r="J119" s="11"/>
      <c r="K119" s="11"/>
    </row>
    <row r="120" spans="1:11" x14ac:dyDescent="0.6">
      <c r="B120" s="11"/>
      <c r="C120" s="11"/>
      <c r="D120" s="11"/>
      <c r="E120" s="11"/>
      <c r="F120" s="11"/>
      <c r="G120" s="11"/>
      <c r="H120" s="11"/>
      <c r="I120" s="11"/>
      <c r="J120" s="11"/>
      <c r="K120" s="11"/>
    </row>
    <row r="121" spans="1:11" x14ac:dyDescent="0.6">
      <c r="B121" s="11"/>
      <c r="C121" s="11"/>
      <c r="D121" s="11"/>
      <c r="E121" s="11"/>
      <c r="F121" s="11"/>
      <c r="G121" s="11"/>
      <c r="H121" s="11"/>
      <c r="I121" s="11"/>
      <c r="J121" s="11"/>
      <c r="K121" s="11"/>
    </row>
    <row r="122" spans="1:11" x14ac:dyDescent="0.6">
      <c r="B122" s="11"/>
      <c r="C122" s="11"/>
      <c r="D122" s="11"/>
      <c r="E122" s="11"/>
      <c r="F122" s="11"/>
      <c r="G122" s="11"/>
      <c r="H122" s="11"/>
      <c r="I122" s="11"/>
      <c r="J122" s="11"/>
      <c r="K122" s="11"/>
    </row>
    <row r="123" spans="1:11" x14ac:dyDescent="0.6">
      <c r="B123" s="11"/>
      <c r="C123" s="11"/>
      <c r="D123" s="11"/>
      <c r="E123" s="11"/>
      <c r="F123" s="11"/>
      <c r="G123" s="11"/>
      <c r="H123" s="11"/>
      <c r="I123" s="11"/>
      <c r="J123" s="11"/>
      <c r="K123" s="11"/>
    </row>
    <row r="124" spans="1:11" x14ac:dyDescent="0.6">
      <c r="B124" s="11"/>
      <c r="C124" s="11"/>
      <c r="D124" s="11"/>
      <c r="E124" s="11"/>
      <c r="F124" s="11"/>
      <c r="G124" s="11"/>
      <c r="H124" s="11"/>
      <c r="I124" s="11"/>
      <c r="J124" s="11"/>
      <c r="K124" s="11"/>
    </row>
    <row r="125" spans="1:11" x14ac:dyDescent="0.6">
      <c r="B125" s="11"/>
      <c r="C125" s="11"/>
      <c r="D125" s="11"/>
      <c r="E125" s="11"/>
      <c r="F125" s="11"/>
      <c r="G125" s="11"/>
      <c r="H125" s="11"/>
      <c r="I125" s="11"/>
      <c r="J125" s="11"/>
      <c r="K125" s="11"/>
    </row>
    <row r="126" spans="1:11" x14ac:dyDescent="0.6">
      <c r="B126" s="11"/>
      <c r="C126" s="11"/>
      <c r="D126" s="11"/>
      <c r="E126" s="11"/>
      <c r="F126" s="11"/>
      <c r="G126" s="11"/>
      <c r="H126" s="11"/>
      <c r="I126" s="11"/>
      <c r="J126" s="11"/>
      <c r="K126" s="11"/>
    </row>
    <row r="127" spans="1:11" x14ac:dyDescent="0.6">
      <c r="B127" s="11"/>
      <c r="C127" s="11"/>
      <c r="D127" s="11"/>
      <c r="E127" s="11"/>
      <c r="F127" s="11"/>
      <c r="G127" s="11"/>
      <c r="H127" s="11"/>
      <c r="I127" s="11"/>
      <c r="J127" s="11"/>
      <c r="K127" s="11"/>
    </row>
    <row r="128" spans="1:11" x14ac:dyDescent="0.6">
      <c r="B128" s="11"/>
      <c r="C128" s="11"/>
      <c r="D128" s="11"/>
      <c r="E128" s="11"/>
      <c r="F128" s="11"/>
      <c r="G128" s="11"/>
      <c r="H128" s="11"/>
      <c r="I128" s="11"/>
      <c r="J128" s="11"/>
      <c r="K128" s="11"/>
    </row>
    <row r="129" spans="2:11" x14ac:dyDescent="0.6">
      <c r="B129" s="11"/>
      <c r="C129" s="11"/>
      <c r="D129" s="11"/>
      <c r="E129" s="11"/>
      <c r="F129" s="11"/>
      <c r="G129" s="11"/>
      <c r="H129" s="11"/>
      <c r="I129" s="11"/>
      <c r="J129" s="11"/>
      <c r="K129" s="11"/>
    </row>
    <row r="130" spans="2:11" x14ac:dyDescent="0.6">
      <c r="B130" s="11"/>
      <c r="C130" s="11"/>
      <c r="D130" s="11"/>
      <c r="E130" s="11"/>
      <c r="F130" s="11"/>
      <c r="G130" s="11"/>
      <c r="H130" s="11"/>
      <c r="I130" s="11"/>
      <c r="J130" s="11"/>
      <c r="K130" s="11"/>
    </row>
    <row r="131" spans="2:11" x14ac:dyDescent="0.6">
      <c r="B131" s="11"/>
      <c r="C131" s="11"/>
      <c r="D131" s="11"/>
      <c r="E131" s="11"/>
      <c r="F131" s="11"/>
      <c r="G131" s="11"/>
      <c r="H131" s="11"/>
      <c r="I131" s="11"/>
      <c r="J131" s="11"/>
      <c r="K131" s="11"/>
    </row>
    <row r="132" spans="2:11" x14ac:dyDescent="0.6">
      <c r="B132" s="11"/>
      <c r="C132" s="11"/>
      <c r="D132" s="11"/>
      <c r="E132" s="11"/>
      <c r="F132" s="11"/>
      <c r="G132" s="11"/>
      <c r="H132" s="11"/>
      <c r="I132" s="11"/>
      <c r="J132" s="11"/>
      <c r="K132" s="11"/>
    </row>
    <row r="133" spans="2:11" x14ac:dyDescent="0.6">
      <c r="B133" s="11"/>
      <c r="C133" s="11"/>
      <c r="D133" s="11"/>
      <c r="E133" s="11"/>
      <c r="F133" s="11"/>
      <c r="G133" s="11"/>
      <c r="H133" s="11"/>
      <c r="I133" s="11"/>
      <c r="J133" s="11"/>
      <c r="K133" s="11"/>
    </row>
    <row r="134" spans="2:11" x14ac:dyDescent="0.6">
      <c r="B134" s="11"/>
      <c r="C134" s="11"/>
      <c r="D134" s="11"/>
      <c r="E134" s="11"/>
      <c r="F134" s="11"/>
      <c r="G134" s="11"/>
      <c r="H134" s="11"/>
      <c r="I134" s="11"/>
      <c r="J134" s="11"/>
      <c r="K134" s="11"/>
    </row>
    <row r="135" spans="2:11" x14ac:dyDescent="0.6">
      <c r="B135" s="11"/>
      <c r="C135" s="11"/>
      <c r="D135" s="11"/>
      <c r="E135" s="11"/>
      <c r="F135" s="11"/>
      <c r="G135" s="11"/>
      <c r="H135" s="11"/>
      <c r="I135" s="11"/>
      <c r="J135" s="11"/>
      <c r="K135" s="11"/>
    </row>
    <row r="136" spans="2:11" x14ac:dyDescent="0.6">
      <c r="B136" s="11"/>
      <c r="C136" s="11"/>
      <c r="D136" s="11"/>
      <c r="E136" s="11"/>
      <c r="F136" s="11"/>
      <c r="G136" s="11"/>
      <c r="H136" s="11"/>
      <c r="I136" s="11"/>
      <c r="J136" s="11"/>
      <c r="K136" s="11"/>
    </row>
  </sheetData>
  <phoneticPr fontId="0" type="noConversion"/>
  <printOptions horizontalCentered="1"/>
  <pageMargins left="0.75" right="0.75" top="1" bottom="1" header="0.5" footer="0.5"/>
  <pageSetup fitToHeight="3" orientation="landscape" r:id="rId1"/>
  <headerFooter alignWithMargins="0">
    <oddFooter>&amp;L&amp;F</oddFooter>
  </headerFooter>
  <rowBreaks count="2" manualBreakCount="2">
    <brk id="31" max="10" man="1"/>
    <brk id="62"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P125"/>
  <sheetViews>
    <sheetView zoomScale="70" zoomScaleNormal="70" workbookViewId="0"/>
  </sheetViews>
  <sheetFormatPr defaultRowHeight="13" x14ac:dyDescent="0.6"/>
  <cols>
    <col min="1" max="1" width="29.453125" customWidth="1"/>
    <col min="2" max="4" width="11.6796875" customWidth="1"/>
    <col min="5" max="5" width="2.6796875" customWidth="1"/>
    <col min="6" max="6" width="11.6796875" customWidth="1"/>
    <col min="7" max="7" width="2.6796875" customWidth="1"/>
    <col min="8" max="9" width="11.6796875" customWidth="1"/>
    <col min="11" max="11" width="9.31640625" bestFit="1" customWidth="1"/>
  </cols>
  <sheetData>
    <row r="1" spans="1:16" ht="15.75" customHeight="1" x14ac:dyDescent="0.7">
      <c r="A1" s="158" t="s">
        <v>560</v>
      </c>
    </row>
    <row r="2" spans="1:16" ht="15.75" customHeight="1" x14ac:dyDescent="0.7">
      <c r="A2" s="158" t="s">
        <v>787</v>
      </c>
    </row>
    <row r="3" spans="1:16" ht="26" x14ac:dyDescent="0.6">
      <c r="B3" s="168" t="s">
        <v>250</v>
      </c>
      <c r="C3" s="189" t="s">
        <v>249</v>
      </c>
      <c r="D3" s="8" t="s">
        <v>104</v>
      </c>
      <c r="E3" s="8"/>
      <c r="F3" s="199" t="s">
        <v>246</v>
      </c>
      <c r="G3" s="87"/>
      <c r="H3" s="160" t="s">
        <v>218</v>
      </c>
      <c r="I3" s="41" t="s">
        <v>133</v>
      </c>
      <c r="J3" s="11"/>
    </row>
    <row r="4" spans="1:16" x14ac:dyDescent="0.6">
      <c r="A4" s="15" t="s">
        <v>291</v>
      </c>
      <c r="B4" s="168"/>
      <c r="C4" s="189"/>
      <c r="D4" s="8"/>
      <c r="E4" s="8"/>
      <c r="F4" s="199"/>
      <c r="G4" s="87"/>
      <c r="H4" s="160"/>
      <c r="I4" s="41"/>
      <c r="J4" s="11"/>
    </row>
    <row r="5" spans="1:16" ht="12.75" customHeight="1" x14ac:dyDescent="0.6">
      <c r="A5" s="89" t="s">
        <v>174</v>
      </c>
      <c r="B5" s="168"/>
      <c r="C5" s="189"/>
      <c r="D5" s="8"/>
      <c r="E5" s="8"/>
      <c r="F5" s="87"/>
      <c r="G5" s="87"/>
      <c r="H5" s="160"/>
      <c r="I5" s="41"/>
      <c r="J5" s="11"/>
    </row>
    <row r="6" spans="1:16" x14ac:dyDescent="0.6">
      <c r="A6" s="81" t="s">
        <v>278</v>
      </c>
      <c r="C6" s="52"/>
      <c r="D6" s="3"/>
      <c r="E6" s="3"/>
      <c r="F6" s="74"/>
      <c r="G6" s="74"/>
      <c r="H6" s="3"/>
      <c r="I6" s="3"/>
      <c r="J6" s="11"/>
    </row>
    <row r="7" spans="1:16" x14ac:dyDescent="0.6">
      <c r="A7" s="344" t="s">
        <v>130</v>
      </c>
      <c r="B7" s="105">
        <v>0</v>
      </c>
      <c r="C7" s="196">
        <v>0</v>
      </c>
      <c r="D7" s="83" t="str">
        <f>IF(ISERROR(C7/B7),"n/a",C7/B7)</f>
        <v>n/a</v>
      </c>
      <c r="E7" s="41"/>
      <c r="F7" s="54">
        <v>1.7516721267338493</v>
      </c>
      <c r="G7" s="75"/>
      <c r="H7" s="42">
        <f>C7*F7</f>
        <v>0</v>
      </c>
      <c r="I7" s="83" t="str">
        <f>IF(ISERROR(H7/B7),"n/a",H7/B7)</f>
        <v>n/a</v>
      </c>
      <c r="J7" s="11"/>
      <c r="K7" s="345"/>
      <c r="L7" s="27"/>
      <c r="M7" s="27"/>
      <c r="N7" s="27"/>
      <c r="O7" s="27"/>
      <c r="P7" s="27"/>
    </row>
    <row r="8" spans="1:16" x14ac:dyDescent="0.6">
      <c r="A8" s="343" t="s">
        <v>292</v>
      </c>
      <c r="B8" s="105">
        <v>32881.811634490034</v>
      </c>
      <c r="C8" s="196">
        <v>5319.0760132145933</v>
      </c>
      <c r="D8" s="83">
        <f>IF(ISERROR(C8/B8),"n/a",C8/B8)</f>
        <v>0.16176347192608348</v>
      </c>
      <c r="E8" s="41"/>
      <c r="F8" s="54">
        <v>1.7516721267338493</v>
      </c>
      <c r="G8" s="75"/>
      <c r="H8" s="42">
        <f>C8*F8</f>
        <v>9317.2771923266118</v>
      </c>
      <c r="I8" s="83">
        <f>IF(ISERROR(H8/B8),"n/a",H8/B8)</f>
        <v>0.28335656489661398</v>
      </c>
      <c r="J8" s="11"/>
      <c r="K8" s="27"/>
      <c r="L8" s="27"/>
      <c r="M8" s="27"/>
      <c r="N8" s="27"/>
      <c r="O8" s="27"/>
      <c r="P8" s="27"/>
    </row>
    <row r="9" spans="1:16" x14ac:dyDescent="0.6">
      <c r="A9" s="344" t="s">
        <v>102</v>
      </c>
      <c r="B9" s="105">
        <f>SUM(B7:B8)</f>
        <v>32881.811634490034</v>
      </c>
      <c r="C9" s="175">
        <f>SUM(C7:C8)</f>
        <v>5319.0760132145933</v>
      </c>
      <c r="D9" s="83">
        <f>IF(ISERROR(C9/B9),"n/a",C9/B9)</f>
        <v>0.16176347192608348</v>
      </c>
      <c r="E9" s="41"/>
      <c r="F9" s="54"/>
      <c r="G9" s="48"/>
      <c r="H9" s="42">
        <f>SUM(H7:H8)</f>
        <v>9317.2771923266118</v>
      </c>
      <c r="I9" s="83">
        <f>H9/B9</f>
        <v>0.28335656489661398</v>
      </c>
      <c r="J9" s="11"/>
      <c r="K9" s="27"/>
      <c r="L9" s="27"/>
      <c r="M9" s="27"/>
      <c r="N9" s="27"/>
      <c r="O9" s="27"/>
      <c r="P9" s="27"/>
    </row>
    <row r="10" spans="1:16" ht="5.15" customHeight="1" x14ac:dyDescent="0.6">
      <c r="A10" s="82"/>
      <c r="B10" s="105"/>
      <c r="C10" s="175"/>
      <c r="D10" s="83"/>
      <c r="E10" s="41"/>
      <c r="F10" s="54"/>
      <c r="G10" s="48"/>
      <c r="H10" s="42"/>
      <c r="I10" s="83"/>
      <c r="J10" s="11"/>
    </row>
    <row r="11" spans="1:16" x14ac:dyDescent="0.6">
      <c r="A11" s="81" t="s">
        <v>274</v>
      </c>
      <c r="B11" s="14"/>
      <c r="C11" s="196"/>
      <c r="D11" s="83"/>
      <c r="E11" s="41"/>
      <c r="F11" s="75"/>
      <c r="G11" s="75"/>
      <c r="H11" s="42"/>
      <c r="I11" s="83"/>
      <c r="J11" s="11"/>
    </row>
    <row r="12" spans="1:16" x14ac:dyDescent="0.6">
      <c r="A12" s="344" t="s">
        <v>130</v>
      </c>
      <c r="B12" s="105">
        <v>0</v>
      </c>
      <c r="C12" s="196">
        <v>0</v>
      </c>
      <c r="D12" s="83" t="str">
        <f>IF(ISERROR(C12/B12),"n/a",C12/B12)</f>
        <v>n/a</v>
      </c>
      <c r="E12" s="41"/>
      <c r="F12" s="54">
        <v>1.7516721267338493</v>
      </c>
      <c r="G12" s="48"/>
      <c r="H12" s="42">
        <f>C12*F12</f>
        <v>0</v>
      </c>
      <c r="I12" s="83" t="str">
        <f>IF(ISERROR(H12/B12),"n/a",H12/B12)</f>
        <v>n/a</v>
      </c>
      <c r="J12" s="11"/>
    </row>
    <row r="13" spans="1:16" x14ac:dyDescent="0.6">
      <c r="A13" s="343" t="s">
        <v>292</v>
      </c>
      <c r="B13" s="105">
        <v>29063.081233870478</v>
      </c>
      <c r="C13" s="196">
        <v>4749.2165314000104</v>
      </c>
      <c r="D13" s="83">
        <f>IF(ISERROR(C13/B13),"n/a",C13/B13)</f>
        <v>0.16341063403371059</v>
      </c>
      <c r="E13" s="41"/>
      <c r="F13" s="54">
        <v>1.7516721267338493</v>
      </c>
      <c r="G13" s="48"/>
      <c r="H13" s="42">
        <f>C13*F13</f>
        <v>8319.0702218770111</v>
      </c>
      <c r="I13" s="83">
        <f>IF(ISERROR(H13/B13),"n/a",H13/B13)</f>
        <v>0.28624185284875653</v>
      </c>
      <c r="J13" s="11"/>
    </row>
    <row r="14" spans="1:16" x14ac:dyDescent="0.6">
      <c r="A14" s="344" t="s">
        <v>102</v>
      </c>
      <c r="B14" s="105">
        <f>SUM(B12:B13)</f>
        <v>29063.081233870478</v>
      </c>
      <c r="C14" s="175">
        <f>SUM(C12:C13)</f>
        <v>4749.2165314000104</v>
      </c>
      <c r="D14" s="83">
        <f>IF(ISERROR(C14/B14),"n/a",C14/B14)</f>
        <v>0.16341063403371059</v>
      </c>
      <c r="E14" s="41"/>
      <c r="F14" s="54"/>
      <c r="G14" s="48"/>
      <c r="H14" s="42">
        <f>SUM(H12:H13)</f>
        <v>8319.0702218770111</v>
      </c>
      <c r="I14" s="83">
        <f>H14/B14</f>
        <v>0.28624185284875653</v>
      </c>
      <c r="J14" s="11"/>
    </row>
    <row r="15" spans="1:16" ht="5.15" customHeight="1" x14ac:dyDescent="0.6">
      <c r="A15" s="82"/>
      <c r="B15" s="105"/>
      <c r="C15" s="175"/>
      <c r="D15" s="83"/>
      <c r="E15" s="41"/>
      <c r="F15" s="54"/>
      <c r="G15" s="48"/>
      <c r="H15" s="42"/>
      <c r="I15" s="83"/>
      <c r="J15" s="11"/>
    </row>
    <row r="16" spans="1:16" x14ac:dyDescent="0.6">
      <c r="A16" s="81" t="s">
        <v>279</v>
      </c>
      <c r="B16" s="105"/>
      <c r="C16" s="196"/>
      <c r="D16" s="92"/>
      <c r="E16" s="92"/>
      <c r="F16" s="54"/>
      <c r="G16" s="54"/>
      <c r="H16" s="46"/>
      <c r="I16" s="85"/>
      <c r="J16" s="11"/>
    </row>
    <row r="17" spans="1:10" x14ac:dyDescent="0.6">
      <c r="A17" s="344" t="s">
        <v>130</v>
      </c>
      <c r="B17" s="105">
        <v>0</v>
      </c>
      <c r="C17" s="196">
        <v>0</v>
      </c>
      <c r="D17" s="83" t="str">
        <f>IF(ISERROR(C17/B17),"n/a",C17/B17)</f>
        <v>n/a</v>
      </c>
      <c r="E17" s="41"/>
      <c r="F17" s="54">
        <v>1.7516721267338493</v>
      </c>
      <c r="G17" s="54"/>
      <c r="H17" s="42">
        <f>C17*F17</f>
        <v>0</v>
      </c>
      <c r="I17" s="83" t="str">
        <f>IF(ISERROR(H17/B17),"n/a",H17/B17)</f>
        <v>n/a</v>
      </c>
      <c r="J17" s="11"/>
    </row>
    <row r="18" spans="1:10" x14ac:dyDescent="0.6">
      <c r="A18" s="343" t="s">
        <v>292</v>
      </c>
      <c r="B18" s="105">
        <v>47136.636426107492</v>
      </c>
      <c r="C18" s="196">
        <v>7624.9859632046446</v>
      </c>
      <c r="D18" s="83">
        <f>IF(ISERROR(C18/B18),"n/a",C18/B18)</f>
        <v>0.16176347192608351</v>
      </c>
      <c r="E18" s="41"/>
      <c r="F18" s="54">
        <v>1.7516721267338493</v>
      </c>
      <c r="G18" s="54"/>
      <c r="H18" s="42">
        <f>C18*F18</f>
        <v>13356.475378482428</v>
      </c>
      <c r="I18" s="83">
        <f>IF(ISERROR(H18/B18),"n/a",H18/B18)</f>
        <v>0.28335656489661404</v>
      </c>
      <c r="J18" s="11"/>
    </row>
    <row r="19" spans="1:10" x14ac:dyDescent="0.6">
      <c r="A19" s="344" t="s">
        <v>102</v>
      </c>
      <c r="B19" s="105">
        <f>SUM(B17:B18)</f>
        <v>47136.636426107492</v>
      </c>
      <c r="C19" s="175">
        <f>SUM(C17:C18)</f>
        <v>7624.9859632046446</v>
      </c>
      <c r="D19" s="83">
        <f>IF(ISERROR(C19/B19),"n/a",C19/B19)</f>
        <v>0.16176347192608351</v>
      </c>
      <c r="E19" s="41"/>
      <c r="F19" s="54"/>
      <c r="G19" s="48"/>
      <c r="H19" s="42">
        <f>SUM(H17:H18)</f>
        <v>13356.475378482428</v>
      </c>
      <c r="I19" s="83">
        <f>H19/B19</f>
        <v>0.28335656489661404</v>
      </c>
      <c r="J19" s="11"/>
    </row>
    <row r="20" spans="1:10" x14ac:dyDescent="0.6">
      <c r="A20" s="11"/>
      <c r="B20" s="105"/>
      <c r="C20" s="175"/>
      <c r="D20" s="83"/>
      <c r="E20" s="41"/>
      <c r="F20" s="54"/>
      <c r="G20" s="48"/>
      <c r="H20" s="42"/>
      <c r="I20" s="83"/>
      <c r="J20" s="11"/>
    </row>
    <row r="21" spans="1:10" x14ac:dyDescent="0.6">
      <c r="A21" s="89" t="s">
        <v>175</v>
      </c>
      <c r="B21" s="14"/>
      <c r="C21" s="196"/>
      <c r="D21" s="85"/>
      <c r="E21" s="45"/>
      <c r="F21" s="76"/>
      <c r="G21" s="76"/>
      <c r="H21" s="46"/>
      <c r="I21" s="85"/>
      <c r="J21" s="11"/>
    </row>
    <row r="22" spans="1:10" x14ac:dyDescent="0.6">
      <c r="A22" s="81" t="s">
        <v>278</v>
      </c>
      <c r="B22" s="48"/>
      <c r="C22" s="196"/>
      <c r="D22" s="92"/>
      <c r="E22" s="48"/>
      <c r="F22" s="48"/>
      <c r="G22" s="48"/>
      <c r="H22" s="196"/>
      <c r="I22" s="92"/>
      <c r="J22" s="11"/>
    </row>
    <row r="23" spans="1:10" x14ac:dyDescent="0.6">
      <c r="A23" s="344" t="s">
        <v>130</v>
      </c>
      <c r="B23" s="105">
        <v>0</v>
      </c>
      <c r="C23" s="196">
        <f>D23*B23</f>
        <v>0</v>
      </c>
      <c r="D23" s="83">
        <v>0</v>
      </c>
      <c r="E23" s="41"/>
      <c r="F23" s="54">
        <v>1.7516721267338493</v>
      </c>
      <c r="G23" s="48"/>
      <c r="H23" s="42">
        <f>C23*F23</f>
        <v>0</v>
      </c>
      <c r="I23" s="83" t="str">
        <f>IF(ISERROR(H23/B23),"n/a",H23/B23)</f>
        <v>n/a</v>
      </c>
      <c r="J23" s="11"/>
    </row>
    <row r="24" spans="1:10" x14ac:dyDescent="0.6">
      <c r="A24" s="343" t="s">
        <v>292</v>
      </c>
      <c r="B24" s="105">
        <v>18167.999955691586</v>
      </c>
      <c r="C24" s="196">
        <f>D24*B24</f>
        <v>5404.4155623872557</v>
      </c>
      <c r="D24" s="83">
        <v>0.29746893304533423</v>
      </c>
      <c r="E24" s="41"/>
      <c r="F24" s="54">
        <v>1.7516721267338493</v>
      </c>
      <c r="G24" s="48"/>
      <c r="H24" s="42">
        <f>C24*F24</f>
        <v>9466.7641019203966</v>
      </c>
      <c r="I24" s="83">
        <f>IF(ISERROR(H24/B24),"n/a",H24/B24)</f>
        <v>0.52106803858476969</v>
      </c>
      <c r="J24" s="11"/>
    </row>
    <row r="25" spans="1:10" x14ac:dyDescent="0.6">
      <c r="A25" s="344" t="s">
        <v>102</v>
      </c>
      <c r="B25" s="105">
        <f>SUM(B23:B24)</f>
        <v>18167.999955691586</v>
      </c>
      <c r="C25" s="175">
        <f>SUM(C23:C24)</f>
        <v>5404.4155623872557</v>
      </c>
      <c r="D25" s="83">
        <f>IF(ISERROR(C25/B25),"n/a",C25/B25)</f>
        <v>0.29746893304533423</v>
      </c>
      <c r="E25" s="41"/>
      <c r="F25" s="54"/>
      <c r="G25" s="48"/>
      <c r="H25" s="42">
        <f>SUM(H23:H24)</f>
        <v>9466.7641019203966</v>
      </c>
      <c r="I25" s="83">
        <f>H25/B25</f>
        <v>0.52106803858476969</v>
      </c>
      <c r="J25" s="11"/>
    </row>
    <row r="26" spans="1:10" ht="5.15" customHeight="1" x14ac:dyDescent="0.6">
      <c r="A26" s="82"/>
      <c r="B26" s="14"/>
      <c r="C26" s="196"/>
      <c r="D26" s="92"/>
      <c r="E26" s="202"/>
      <c r="F26" s="203"/>
      <c r="G26" s="203"/>
      <c r="H26" s="196"/>
      <c r="I26" s="92"/>
      <c r="J26" s="11"/>
    </row>
    <row r="27" spans="1:10" x14ac:dyDescent="0.6">
      <c r="A27" s="81" t="s">
        <v>274</v>
      </c>
      <c r="B27" s="48"/>
      <c r="C27" s="196"/>
      <c r="D27" s="92"/>
      <c r="E27" s="48"/>
      <c r="F27" s="48"/>
      <c r="G27" s="48"/>
      <c r="H27" s="196"/>
      <c r="I27" s="92"/>
      <c r="J27" s="11"/>
    </row>
    <row r="28" spans="1:10" x14ac:dyDescent="0.6">
      <c r="A28" s="344" t="s">
        <v>130</v>
      </c>
      <c r="B28" s="105">
        <v>0</v>
      </c>
      <c r="C28" s="196">
        <f>D28*B28</f>
        <v>0</v>
      </c>
      <c r="D28" s="83">
        <v>0</v>
      </c>
      <c r="E28" s="41"/>
      <c r="F28" s="54">
        <v>1.7516721267338493</v>
      </c>
      <c r="G28" s="76"/>
      <c r="H28" s="42">
        <f>C28*F28</f>
        <v>0</v>
      </c>
      <c r="I28" s="83" t="str">
        <f>IF(ISERROR(H28/B28),"n/a",H28/B28)</f>
        <v>n/a</v>
      </c>
      <c r="J28" s="11"/>
    </row>
    <row r="29" spans="1:10" x14ac:dyDescent="0.6">
      <c r="A29" s="343" t="s">
        <v>292</v>
      </c>
      <c r="B29" s="105">
        <v>0</v>
      </c>
      <c r="C29" s="196">
        <v>0</v>
      </c>
      <c r="D29" s="83" t="s">
        <v>106</v>
      </c>
      <c r="E29" s="41"/>
      <c r="F29" s="54">
        <v>1.7516721267338493</v>
      </c>
      <c r="G29" s="76"/>
      <c r="H29" s="42">
        <f>C29*F29</f>
        <v>0</v>
      </c>
      <c r="I29" s="83" t="str">
        <f>IF(ISERROR(H29/B29),"n/a",H29/B29)</f>
        <v>n/a</v>
      </c>
      <c r="J29" s="11"/>
    </row>
    <row r="30" spans="1:10" x14ac:dyDescent="0.6">
      <c r="A30" s="344" t="s">
        <v>102</v>
      </c>
      <c r="B30" s="105">
        <f>SUM(B28:B29)</f>
        <v>0</v>
      </c>
      <c r="C30" s="175">
        <f>SUM(C28:C29)</f>
        <v>0</v>
      </c>
      <c r="D30" s="83" t="str">
        <f>IF(ISERROR(C30/B30),"n/a",C30/B30)</f>
        <v>n/a</v>
      </c>
      <c r="E30" s="41"/>
      <c r="F30" s="54"/>
      <c r="G30" s="48"/>
      <c r="H30" s="42">
        <f>SUM(H28:H29)</f>
        <v>0</v>
      </c>
      <c r="I30" s="83" t="str">
        <f>IF(ISERROR(H30/B30),"n/a",H30/B30)</f>
        <v>n/a</v>
      </c>
      <c r="J30" s="11"/>
    </row>
    <row r="31" spans="1:10" ht="5.15" customHeight="1" x14ac:dyDescent="0.6">
      <c r="A31" s="82"/>
      <c r="B31" s="14"/>
      <c r="C31" s="196"/>
      <c r="D31" s="85"/>
      <c r="E31" s="45"/>
      <c r="F31" s="76"/>
      <c r="G31" s="76"/>
      <c r="H31" s="46"/>
      <c r="I31" s="85"/>
      <c r="J31" s="11"/>
    </row>
    <row r="32" spans="1:10" x14ac:dyDescent="0.6">
      <c r="A32" s="81" t="s">
        <v>279</v>
      </c>
      <c r="B32" s="14"/>
      <c r="C32" s="196"/>
      <c r="D32" s="92"/>
      <c r="E32" s="202"/>
      <c r="F32" s="203"/>
      <c r="G32" s="203"/>
      <c r="H32" s="196"/>
      <c r="I32" s="92"/>
      <c r="J32" s="11"/>
    </row>
    <row r="33" spans="1:10" x14ac:dyDescent="0.6">
      <c r="A33" s="344" t="s">
        <v>130</v>
      </c>
      <c r="B33" s="105">
        <v>0</v>
      </c>
      <c r="C33" s="196">
        <f>D33*B33</f>
        <v>0</v>
      </c>
      <c r="D33" s="83">
        <v>0</v>
      </c>
      <c r="E33" s="41"/>
      <c r="F33" s="54">
        <v>1.7516721267338493</v>
      </c>
      <c r="G33" s="203"/>
      <c r="H33" s="42">
        <f>C33*F33</f>
        <v>0</v>
      </c>
      <c r="I33" s="83" t="str">
        <f>IF(ISERROR(H33/B33),"n/a",H33/B33)</f>
        <v>n/a</v>
      </c>
      <c r="J33" s="11"/>
    </row>
    <row r="34" spans="1:10" x14ac:dyDescent="0.6">
      <c r="A34" s="343" t="s">
        <v>292</v>
      </c>
      <c r="B34" s="105">
        <v>33363.202688696685</v>
      </c>
      <c r="C34" s="196">
        <f>D34*B34</f>
        <v>9924.5163067818266</v>
      </c>
      <c r="D34" s="83">
        <v>0.29746893304533417</v>
      </c>
      <c r="E34" s="41"/>
      <c r="F34" s="54">
        <v>1.7516721267338493</v>
      </c>
      <c r="G34" s="203"/>
      <c r="H34" s="42">
        <f>C34*F34</f>
        <v>17384.49858590529</v>
      </c>
      <c r="I34" s="83">
        <f>IF(ISERROR(H34/B34),"n/a",H34/B34)</f>
        <v>0.52106803858476947</v>
      </c>
      <c r="J34" s="11"/>
    </row>
    <row r="35" spans="1:10" x14ac:dyDescent="0.6">
      <c r="A35" s="344" t="s">
        <v>102</v>
      </c>
      <c r="B35" s="105">
        <f>SUM(B33:B34)</f>
        <v>33363.202688696685</v>
      </c>
      <c r="C35" s="175">
        <f>SUM(C33:C34)</f>
        <v>9924.5163067818266</v>
      </c>
      <c r="D35" s="83">
        <f>IF(ISERROR(C35/B35),"n/a",C35/B35)</f>
        <v>0.29746893304533417</v>
      </c>
      <c r="E35" s="41"/>
      <c r="F35" s="54"/>
      <c r="G35" s="48"/>
      <c r="H35" s="42">
        <f>SUM(H33:H34)</f>
        <v>17384.49858590529</v>
      </c>
      <c r="I35" s="83">
        <f>H35/B35</f>
        <v>0.52106803858476947</v>
      </c>
      <c r="J35" s="11"/>
    </row>
    <row r="36" spans="1:10" x14ac:dyDescent="0.6">
      <c r="A36" s="82"/>
      <c r="B36" s="105"/>
      <c r="C36" s="196"/>
      <c r="D36" s="83"/>
      <c r="E36" s="41"/>
      <c r="F36" s="54"/>
      <c r="G36" s="203"/>
      <c r="H36" s="42"/>
      <c r="I36" s="452"/>
      <c r="J36" s="11"/>
    </row>
    <row r="37" spans="1:10" ht="15.5" x14ac:dyDescent="0.7">
      <c r="A37" s="158" t="s">
        <v>650</v>
      </c>
      <c r="J37" s="11"/>
    </row>
    <row r="38" spans="1:10" ht="15.5" x14ac:dyDescent="0.7">
      <c r="A38" s="158" t="s">
        <v>787</v>
      </c>
      <c r="J38" s="11"/>
    </row>
    <row r="39" spans="1:10" ht="26" x14ac:dyDescent="0.6">
      <c r="B39" s="168" t="s">
        <v>250</v>
      </c>
      <c r="C39" s="189" t="s">
        <v>249</v>
      </c>
      <c r="D39" s="8" t="s">
        <v>104</v>
      </c>
      <c r="E39" s="8"/>
      <c r="F39" s="199" t="s">
        <v>246</v>
      </c>
      <c r="G39" s="87"/>
      <c r="H39" s="160" t="s">
        <v>218</v>
      </c>
      <c r="I39" s="41" t="s">
        <v>133</v>
      </c>
      <c r="J39" s="11"/>
    </row>
    <row r="40" spans="1:10" x14ac:dyDescent="0.6">
      <c r="A40" s="15" t="s">
        <v>290</v>
      </c>
      <c r="B40" s="14"/>
      <c r="C40" s="196"/>
      <c r="D40" s="92"/>
      <c r="E40" s="202"/>
      <c r="F40" s="203"/>
      <c r="G40" s="203"/>
      <c r="H40" s="196"/>
      <c r="I40" s="92"/>
      <c r="J40" s="11"/>
    </row>
    <row r="41" spans="1:10" x14ac:dyDescent="0.6">
      <c r="A41" s="89" t="s">
        <v>170</v>
      </c>
      <c r="B41" s="48"/>
      <c r="C41" s="196"/>
      <c r="D41" s="92"/>
      <c r="E41" s="48"/>
      <c r="F41" s="48"/>
      <c r="G41" s="48"/>
      <c r="H41" s="196"/>
      <c r="I41" s="92"/>
      <c r="J41" s="11"/>
    </row>
    <row r="42" spans="1:10" x14ac:dyDescent="0.6">
      <c r="A42" s="81" t="s">
        <v>289</v>
      </c>
      <c r="B42" s="105"/>
      <c r="C42" s="196"/>
      <c r="D42" s="83"/>
      <c r="E42" s="41"/>
      <c r="F42" s="54"/>
      <c r="G42" s="75"/>
      <c r="H42" s="42"/>
      <c r="I42" s="83"/>
      <c r="J42" s="11"/>
    </row>
    <row r="43" spans="1:10" x14ac:dyDescent="0.6">
      <c r="A43" s="344" t="s">
        <v>130</v>
      </c>
      <c r="B43" s="105">
        <v>0</v>
      </c>
      <c r="C43" s="196">
        <v>0</v>
      </c>
      <c r="D43" s="83" t="str">
        <f>IF(ISERROR(C43/B43),"n/a",C43/B43)</f>
        <v>n/a</v>
      </c>
      <c r="E43" s="41"/>
      <c r="F43" s="54">
        <v>1.7516721267338493</v>
      </c>
      <c r="G43" s="48"/>
      <c r="H43" s="42">
        <f>C43*F43</f>
        <v>0</v>
      </c>
      <c r="I43" s="83" t="str">
        <f>IF(ISERROR(H43/B43),"n/a",H43/B43)</f>
        <v>n/a</v>
      </c>
      <c r="J43" s="11"/>
    </row>
    <row r="44" spans="1:10" x14ac:dyDescent="0.6">
      <c r="A44" s="343" t="s">
        <v>292</v>
      </c>
      <c r="B44" s="105">
        <v>1019.0912491577128</v>
      </c>
      <c r="C44" s="196">
        <v>218.08872173755503</v>
      </c>
      <c r="D44" s="83">
        <f>IF(ISERROR(C44/B44),"n/a",C44/B44)</f>
        <v>0.21400313457485493</v>
      </c>
      <c r="E44" s="41"/>
      <c r="F44" s="54">
        <v>1.7516721267338493</v>
      </c>
      <c r="G44" s="48"/>
      <c r="H44" s="42">
        <f>C44*F44</f>
        <v>382.01993502268971</v>
      </c>
      <c r="I44" s="83">
        <f>IF(ISERROR(H44/B44),"n/a",H44/B44)</f>
        <v>0.37486332586844628</v>
      </c>
      <c r="J44" s="11"/>
    </row>
    <row r="45" spans="1:10" x14ac:dyDescent="0.6">
      <c r="A45" s="344" t="s">
        <v>102</v>
      </c>
      <c r="B45" s="105">
        <f>SUM(B43:B44)</f>
        <v>1019.0912491577128</v>
      </c>
      <c r="C45" s="175">
        <f>SUM(C43:C44)</f>
        <v>218.08872173755503</v>
      </c>
      <c r="D45" s="83">
        <f>IF(ISERROR(C45/B45),"n/a",C45/B45)</f>
        <v>0.21400313457485493</v>
      </c>
      <c r="E45" s="41"/>
      <c r="F45" s="54"/>
      <c r="G45" s="48"/>
      <c r="H45" s="42">
        <f>SUM(H43:H44)</f>
        <v>382.01993502268971</v>
      </c>
      <c r="I45" s="83">
        <f>H45/B45</f>
        <v>0.37486332586844628</v>
      </c>
      <c r="J45" s="11"/>
    </row>
    <row r="46" spans="1:10" ht="5.15" customHeight="1" x14ac:dyDescent="0.6">
      <c r="A46" s="111"/>
      <c r="B46" s="105"/>
      <c r="C46" s="175"/>
      <c r="D46" s="83"/>
      <c r="E46" s="41"/>
      <c r="F46" s="54"/>
      <c r="G46" s="48"/>
      <c r="H46" s="42"/>
      <c r="I46" s="83"/>
      <c r="J46" s="11"/>
    </row>
    <row r="47" spans="1:10" x14ac:dyDescent="0.6">
      <c r="A47" s="81" t="s">
        <v>168</v>
      </c>
      <c r="B47" s="105"/>
      <c r="C47" s="196"/>
      <c r="D47" s="83"/>
      <c r="E47" s="41"/>
      <c r="F47" s="54"/>
      <c r="G47" s="48"/>
      <c r="H47" s="42"/>
      <c r="I47" s="83"/>
      <c r="J47" s="11"/>
    </row>
    <row r="48" spans="1:10" x14ac:dyDescent="0.6">
      <c r="A48" s="344" t="s">
        <v>130</v>
      </c>
      <c r="B48" s="105">
        <v>0</v>
      </c>
      <c r="C48" s="196">
        <v>0</v>
      </c>
      <c r="D48" s="83" t="str">
        <f>IF(ISERROR(C48/B48),"n/a",C48/B48)</f>
        <v>n/a</v>
      </c>
      <c r="E48" s="41"/>
      <c r="F48" s="54">
        <v>1.7516721267338493</v>
      </c>
      <c r="G48" s="75"/>
      <c r="H48" s="42">
        <f>C48*F48</f>
        <v>0</v>
      </c>
      <c r="I48" s="83" t="str">
        <f>IF(ISERROR(H48/B48),"n/a",H48/B48)</f>
        <v>n/a</v>
      </c>
      <c r="J48" s="11"/>
    </row>
    <row r="49" spans="1:10" x14ac:dyDescent="0.6">
      <c r="A49" s="343" t="s">
        <v>292</v>
      </c>
      <c r="B49" s="105">
        <v>4502.7349936258915</v>
      </c>
      <c r="C49" s="196">
        <v>963.5994027958302</v>
      </c>
      <c r="D49" s="83">
        <f>IF(ISERROR(C49/B49),"n/a",C49/B49)</f>
        <v>0.21400313457485493</v>
      </c>
      <c r="E49" s="41"/>
      <c r="F49" s="54">
        <v>1.7516721267338493</v>
      </c>
      <c r="G49" s="75"/>
      <c r="H49" s="42">
        <f>C49*F49</f>
        <v>1687.9102152148389</v>
      </c>
      <c r="I49" s="83">
        <f>IF(ISERROR(H49/B49),"n/a",H49/B49)</f>
        <v>0.37486332586844628</v>
      </c>
      <c r="J49" s="11"/>
    </row>
    <row r="50" spans="1:10" x14ac:dyDescent="0.6">
      <c r="A50" s="344" t="s">
        <v>102</v>
      </c>
      <c r="B50" s="105">
        <f>SUM(B48:B49)</f>
        <v>4502.7349936258915</v>
      </c>
      <c r="C50" s="175">
        <f>SUM(C48:C49)</f>
        <v>963.5994027958302</v>
      </c>
      <c r="D50" s="83">
        <f>IF(ISERROR(C50/B50),"n/a",C50/B50)</f>
        <v>0.21400313457485493</v>
      </c>
      <c r="E50" s="41"/>
      <c r="F50" s="54"/>
      <c r="G50" s="48"/>
      <c r="H50" s="42">
        <f>SUM(H48:H49)</f>
        <v>1687.9102152148389</v>
      </c>
      <c r="I50" s="83">
        <f>H50/B50</f>
        <v>0.37486332586844628</v>
      </c>
      <c r="J50" s="11"/>
    </row>
    <row r="51" spans="1:10" ht="5.15" customHeight="1" x14ac:dyDescent="0.6">
      <c r="A51" s="111"/>
      <c r="B51" s="105"/>
      <c r="C51" s="175"/>
      <c r="D51" s="83"/>
      <c r="E51" s="41"/>
      <c r="F51" s="54"/>
      <c r="G51" s="48"/>
      <c r="H51" s="42"/>
      <c r="I51" s="83"/>
      <c r="J51" s="11"/>
    </row>
    <row r="52" spans="1:10" x14ac:dyDescent="0.6">
      <c r="A52" s="89" t="s">
        <v>169</v>
      </c>
      <c r="B52" s="14"/>
      <c r="C52" s="196"/>
      <c r="D52" s="92"/>
      <c r="E52" s="202"/>
      <c r="F52" s="203"/>
      <c r="G52" s="203"/>
      <c r="H52" s="196"/>
      <c r="I52" s="92"/>
      <c r="J52" s="11"/>
    </row>
    <row r="53" spans="1:10" x14ac:dyDescent="0.6">
      <c r="A53" s="81" t="s">
        <v>289</v>
      </c>
      <c r="B53" s="14"/>
      <c r="C53" s="196"/>
      <c r="D53" s="92"/>
      <c r="E53" s="202"/>
      <c r="F53" s="203"/>
      <c r="G53" s="203"/>
      <c r="H53" s="196"/>
      <c r="I53" s="92"/>
      <c r="J53" s="11"/>
    </row>
    <row r="54" spans="1:10" x14ac:dyDescent="0.6">
      <c r="A54" s="344" t="s">
        <v>130</v>
      </c>
      <c r="B54" s="105">
        <v>0</v>
      </c>
      <c r="C54" s="196">
        <v>0</v>
      </c>
      <c r="D54" s="83" t="str">
        <f>IF(ISERROR(C54/B54),"n/a",C54/B54)</f>
        <v>n/a</v>
      </c>
      <c r="E54" s="41"/>
      <c r="F54" s="54">
        <v>1.7516721267338493</v>
      </c>
      <c r="G54" s="75"/>
      <c r="H54" s="42">
        <f>IF(B54=0,0,C54*F54)</f>
        <v>0</v>
      </c>
      <c r="I54" s="83" t="str">
        <f>IF(ISERROR(H54/B54),"n/a",H54/B54)</f>
        <v>n/a</v>
      </c>
      <c r="J54" s="11"/>
    </row>
    <row r="55" spans="1:10" x14ac:dyDescent="0.6">
      <c r="A55" s="343" t="s">
        <v>292</v>
      </c>
      <c r="B55" s="105">
        <v>31.044322439254199</v>
      </c>
      <c r="C55" s="196">
        <v>6.6435823127529048</v>
      </c>
      <c r="D55" s="83">
        <f>IF(ISERROR(C55/B55),"n/a",C55/B55)</f>
        <v>0.21400313457485493</v>
      </c>
      <c r="E55" s="41"/>
      <c r="F55" s="54">
        <v>1.7516721267338493</v>
      </c>
      <c r="G55" s="75"/>
      <c r="H55" s="42">
        <f>C55*F55</f>
        <v>11.637377958911266</v>
      </c>
      <c r="I55" s="83">
        <f>IF(ISERROR(H55/B55),"n/a",H55/B55)</f>
        <v>0.37486332586844628</v>
      </c>
      <c r="J55" s="11"/>
    </row>
    <row r="56" spans="1:10" x14ac:dyDescent="0.6">
      <c r="A56" s="344" t="s">
        <v>102</v>
      </c>
      <c r="B56" s="105">
        <f>SUM(B54:B55)</f>
        <v>31.044322439254199</v>
      </c>
      <c r="C56" s="175">
        <f>SUM(C54:C55)</f>
        <v>6.6435823127529048</v>
      </c>
      <c r="D56" s="83">
        <f>IF(ISERROR(C56/B56),"n/a",C56/B56)</f>
        <v>0.21400313457485493</v>
      </c>
      <c r="E56" s="41"/>
      <c r="F56" s="54"/>
      <c r="G56" s="48"/>
      <c r="H56" s="42">
        <f>SUM(H54:H55)</f>
        <v>11.637377958911266</v>
      </c>
      <c r="I56" s="83">
        <f>H56/B56</f>
        <v>0.37486332586844628</v>
      </c>
      <c r="J56" s="11"/>
    </row>
    <row r="57" spans="1:10" ht="5.15" customHeight="1" x14ac:dyDescent="0.6">
      <c r="A57" s="111"/>
      <c r="B57" s="105"/>
      <c r="C57" s="175"/>
      <c r="D57" s="83"/>
      <c r="E57" s="41"/>
      <c r="F57" s="54"/>
      <c r="G57" s="48"/>
      <c r="H57" s="42"/>
      <c r="I57" s="83"/>
      <c r="J57" s="11"/>
    </row>
    <row r="58" spans="1:10" x14ac:dyDescent="0.6">
      <c r="A58" s="81" t="s">
        <v>168</v>
      </c>
      <c r="B58" s="14"/>
      <c r="C58" s="196"/>
      <c r="D58" s="85"/>
      <c r="E58" s="45"/>
      <c r="F58" s="76"/>
      <c r="G58" s="76"/>
      <c r="H58" s="46"/>
      <c r="I58" s="85"/>
      <c r="J58" s="11"/>
    </row>
    <row r="59" spans="1:10" x14ac:dyDescent="0.6">
      <c r="A59" s="344" t="s">
        <v>130</v>
      </c>
      <c r="B59" s="105">
        <v>0</v>
      </c>
      <c r="C59" s="196">
        <v>0</v>
      </c>
      <c r="D59" s="83" t="str">
        <f>IF(ISERROR(C59/B59),"n/a",C59/B59)</f>
        <v>n/a</v>
      </c>
      <c r="E59" s="41"/>
      <c r="F59" s="54">
        <v>1.7516721267338493</v>
      </c>
      <c r="G59" s="75"/>
      <c r="H59" s="42">
        <f>C59*F59</f>
        <v>0</v>
      </c>
      <c r="I59" s="83" t="str">
        <f>IF(ISERROR(H59/B59),"n/a",H59/B59)</f>
        <v>n/a</v>
      </c>
      <c r="J59" s="11"/>
    </row>
    <row r="60" spans="1:10" x14ac:dyDescent="0.6">
      <c r="A60" s="343" t="s">
        <v>292</v>
      </c>
      <c r="B60" s="105">
        <v>0</v>
      </c>
      <c r="C60" s="196">
        <v>0</v>
      </c>
      <c r="D60" s="83" t="str">
        <f>IF(ISERROR(C60/B60),"n/a",C60/B60)</f>
        <v>n/a</v>
      </c>
      <c r="E60" s="41"/>
      <c r="F60" s="54">
        <v>1.7516721267338493</v>
      </c>
      <c r="G60" s="75"/>
      <c r="H60" s="42">
        <f>C60*F60</f>
        <v>0</v>
      </c>
      <c r="I60" s="83" t="str">
        <f>IF(ISERROR(H60/B60),"n/a",H60/B60)</f>
        <v>n/a</v>
      </c>
      <c r="J60" s="11"/>
    </row>
    <row r="61" spans="1:10" x14ac:dyDescent="0.6">
      <c r="A61" s="344" t="s">
        <v>102</v>
      </c>
      <c r="B61" s="105">
        <f>SUM(B59:B60)</f>
        <v>0</v>
      </c>
      <c r="C61" s="175">
        <f>SUM(C59:C60)</f>
        <v>0</v>
      </c>
      <c r="D61" s="83" t="str">
        <f>IF(ISERROR(C61/B61),"n/a",C61/B61)</f>
        <v>n/a</v>
      </c>
      <c r="E61" s="41"/>
      <c r="F61" s="54"/>
      <c r="G61" s="48"/>
      <c r="H61" s="42">
        <f>SUM(H59:H60)</f>
        <v>0</v>
      </c>
      <c r="I61" s="83" t="str">
        <f>IF(ISERROR(H61/B61),"n/a",H61/B61)</f>
        <v>n/a</v>
      </c>
      <c r="J61" s="11"/>
    </row>
    <row r="62" spans="1:10" x14ac:dyDescent="0.6">
      <c r="A62" s="344"/>
      <c r="B62" s="105"/>
      <c r="C62" s="175"/>
      <c r="D62" s="83"/>
      <c r="E62" s="41"/>
      <c r="F62" s="54"/>
      <c r="G62" s="48"/>
      <c r="H62" s="42"/>
      <c r="I62" s="83"/>
      <c r="J62" s="11"/>
    </row>
    <row r="63" spans="1:10" ht="15.5" x14ac:dyDescent="0.7">
      <c r="A63" s="158" t="s">
        <v>651</v>
      </c>
      <c r="J63" s="11"/>
    </row>
    <row r="64" spans="1:10" ht="15.5" x14ac:dyDescent="0.7">
      <c r="A64" s="158" t="s">
        <v>787</v>
      </c>
      <c r="J64" s="11"/>
    </row>
    <row r="65" spans="1:16" ht="26" x14ac:dyDescent="0.6">
      <c r="B65" s="168" t="s">
        <v>250</v>
      </c>
      <c r="C65" s="189" t="s">
        <v>249</v>
      </c>
      <c r="D65" s="8" t="s">
        <v>104</v>
      </c>
      <c r="E65" s="8"/>
      <c r="F65" s="199" t="s">
        <v>246</v>
      </c>
      <c r="G65" s="87"/>
      <c r="H65" s="160" t="s">
        <v>218</v>
      </c>
      <c r="I65" s="41" t="s">
        <v>133</v>
      </c>
      <c r="J65" s="11"/>
    </row>
    <row r="66" spans="1:16" x14ac:dyDescent="0.6">
      <c r="A66" s="15" t="s">
        <v>783</v>
      </c>
      <c r="B66" s="168"/>
      <c r="C66" s="189"/>
      <c r="D66" s="8"/>
      <c r="E66" s="8"/>
      <c r="F66" s="199"/>
      <c r="G66" s="87"/>
      <c r="H66" s="160"/>
      <c r="I66" s="41"/>
      <c r="J66" s="11"/>
    </row>
    <row r="67" spans="1:16" x14ac:dyDescent="0.6">
      <c r="A67" s="89" t="s">
        <v>174</v>
      </c>
      <c r="B67" s="105"/>
      <c r="C67" s="175"/>
      <c r="D67" s="83"/>
      <c r="E67" s="41"/>
      <c r="F67" s="54"/>
      <c r="G67" s="48"/>
      <c r="H67" s="42"/>
      <c r="I67" s="83"/>
      <c r="J67" s="11"/>
      <c r="M67" s="140"/>
      <c r="N67" s="140"/>
      <c r="O67" s="140"/>
      <c r="P67" s="140"/>
    </row>
    <row r="68" spans="1:16" x14ac:dyDescent="0.6">
      <c r="A68" s="82" t="s">
        <v>274</v>
      </c>
      <c r="B68" s="105"/>
      <c r="C68" s="175"/>
      <c r="D68" s="83"/>
      <c r="E68" s="41"/>
      <c r="F68" s="54"/>
      <c r="G68" s="48"/>
      <c r="H68" s="42"/>
      <c r="I68" s="83"/>
      <c r="J68" s="11"/>
    </row>
    <row r="69" spans="1:16" x14ac:dyDescent="0.6">
      <c r="A69" s="344" t="s">
        <v>130</v>
      </c>
      <c r="B69" s="105">
        <v>0</v>
      </c>
      <c r="C69" s="196">
        <v>0</v>
      </c>
      <c r="D69" s="83" t="str">
        <f>IF(ISERROR(C69/B69),"n/a",C69/B69)</f>
        <v>n/a</v>
      </c>
      <c r="E69" s="41"/>
      <c r="F69" s="54">
        <v>1.7516721267338493</v>
      </c>
      <c r="G69" s="48"/>
      <c r="H69" s="42">
        <f>C69*F69</f>
        <v>0</v>
      </c>
      <c r="I69" s="83" t="str">
        <f>IF(ISERROR(H69/B69),"n/a",H69/B69)</f>
        <v>n/a</v>
      </c>
      <c r="J69" s="11"/>
    </row>
    <row r="70" spans="1:16" x14ac:dyDescent="0.6">
      <c r="A70" s="343" t="s">
        <v>292</v>
      </c>
      <c r="B70" s="105">
        <v>7812.5180002280404</v>
      </c>
      <c r="C70" s="196">
        <v>101.78933923925888</v>
      </c>
      <c r="D70" s="83">
        <f>IF(ISERROR(C70/B70),"n/a",C70/B70)</f>
        <v>1.3029005403416382E-2</v>
      </c>
      <c r="E70" s="41"/>
      <c r="F70" s="54">
        <v>1.7516721267338493</v>
      </c>
      <c r="G70" s="48"/>
      <c r="H70" s="42">
        <f>C70*F70</f>
        <v>178.30154834406585</v>
      </c>
      <c r="I70" s="83">
        <f>IF(ISERROR(H70/B70),"n/a",H70/B70)</f>
        <v>2.2822545604229187E-2</v>
      </c>
      <c r="J70" s="11"/>
    </row>
    <row r="71" spans="1:16" x14ac:dyDescent="0.6">
      <c r="A71" s="344" t="s">
        <v>102</v>
      </c>
      <c r="B71" s="105">
        <f>SUM(B69:B70)</f>
        <v>7812.5180002280404</v>
      </c>
      <c r="C71" s="196">
        <f>SUM(C69:C70)</f>
        <v>101.78933923925888</v>
      </c>
      <c r="D71" s="83">
        <f>IF(ISERROR(C71/B71),"n/a",C71/B71)</f>
        <v>1.3029005403416382E-2</v>
      </c>
      <c r="E71" s="41"/>
      <c r="F71" s="54"/>
      <c r="G71" s="48"/>
      <c r="H71" s="42">
        <f>SUM(H69:H70)</f>
        <v>178.30154834406585</v>
      </c>
      <c r="I71" s="83">
        <f>H71/B71</f>
        <v>2.2822545604229187E-2</v>
      </c>
      <c r="J71" s="11"/>
    </row>
    <row r="72" spans="1:16" ht="5.15" customHeight="1" x14ac:dyDescent="0.6">
      <c r="A72" s="111"/>
      <c r="B72" s="105"/>
      <c r="C72" s="175"/>
      <c r="D72" s="83"/>
      <c r="E72" s="41"/>
      <c r="F72" s="54"/>
      <c r="G72" s="48"/>
      <c r="H72" s="42"/>
      <c r="I72" s="83"/>
      <c r="J72" s="11"/>
    </row>
    <row r="73" spans="1:16" x14ac:dyDescent="0.6">
      <c r="A73" s="81" t="s">
        <v>279</v>
      </c>
      <c r="B73" s="105"/>
      <c r="C73" s="175"/>
      <c r="D73" s="83"/>
      <c r="E73" s="41"/>
      <c r="F73" s="54"/>
      <c r="G73" s="48"/>
      <c r="H73" s="42"/>
      <c r="I73" s="83"/>
      <c r="J73" s="11"/>
    </row>
    <row r="74" spans="1:16" x14ac:dyDescent="0.6">
      <c r="A74" s="344" t="s">
        <v>130</v>
      </c>
      <c r="B74" s="105">
        <v>0</v>
      </c>
      <c r="C74" s="196">
        <v>0</v>
      </c>
      <c r="D74" s="83" t="str">
        <f>IF(ISERROR(C74/B74),"n/a",C74/B74)</f>
        <v>n/a</v>
      </c>
      <c r="E74" s="41"/>
      <c r="F74" s="54">
        <v>1.7516721267338493</v>
      </c>
      <c r="G74" s="48"/>
      <c r="H74" s="42">
        <f>C74*F74</f>
        <v>0</v>
      </c>
      <c r="I74" s="83" t="str">
        <f>IF(ISERROR(H74/B74),"n/a",H74/B74)</f>
        <v>n/a</v>
      </c>
      <c r="J74" s="11"/>
    </row>
    <row r="75" spans="1:16" x14ac:dyDescent="0.6">
      <c r="A75" s="343" t="s">
        <v>292</v>
      </c>
      <c r="B75" s="105">
        <v>31871.57269863737</v>
      </c>
      <c r="C75" s="196">
        <v>415.25489290592577</v>
      </c>
      <c r="D75" s="83">
        <f>IF(ISERROR(C75/B75),"n/a",C75/B75)</f>
        <v>1.3029005403416427E-2</v>
      </c>
      <c r="E75" s="41"/>
      <c r="F75" s="54">
        <v>1.7516721267338493</v>
      </c>
      <c r="G75" s="48"/>
      <c r="H75" s="42">
        <f>C75*F75</f>
        <v>727.39042139315984</v>
      </c>
      <c r="I75" s="83">
        <f>IF(ISERROR(H75/B75),"n/a",H75/B75)</f>
        <v>2.2822545604229267E-2</v>
      </c>
      <c r="J75" s="11"/>
    </row>
    <row r="76" spans="1:16" x14ac:dyDescent="0.6">
      <c r="A76" s="344" t="s">
        <v>102</v>
      </c>
      <c r="B76" s="105">
        <f>SUM(B74:B75)</f>
        <v>31871.57269863737</v>
      </c>
      <c r="C76" s="196">
        <f>SUM(C74:C75)</f>
        <v>415.25489290592577</v>
      </c>
      <c r="D76" s="83">
        <f>IF(ISERROR(C76/B76),"n/a",C76/B76)</f>
        <v>1.3029005403416427E-2</v>
      </c>
      <c r="E76" s="41"/>
      <c r="F76" s="54"/>
      <c r="G76" s="48"/>
      <c r="H76" s="42">
        <f>SUM(H74:H75)</f>
        <v>727.39042139315984</v>
      </c>
      <c r="I76" s="83">
        <f>H76/B76</f>
        <v>2.2822545604229267E-2</v>
      </c>
      <c r="J76" s="11"/>
    </row>
    <row r="77" spans="1:16" ht="5.15" customHeight="1" x14ac:dyDescent="0.6">
      <c r="A77" s="344"/>
      <c r="B77" s="105"/>
      <c r="C77" s="175"/>
      <c r="D77" s="83"/>
      <c r="E77" s="41"/>
      <c r="F77" s="54"/>
      <c r="G77" s="48"/>
      <c r="H77" s="42"/>
      <c r="I77" s="83"/>
      <c r="J77" s="11"/>
    </row>
    <row r="78" spans="1:16" x14ac:dyDescent="0.6">
      <c r="A78" s="21" t="s">
        <v>308</v>
      </c>
      <c r="B78" s="105"/>
      <c r="C78" s="175"/>
      <c r="D78" s="83"/>
      <c r="E78" s="41"/>
      <c r="F78" s="54"/>
      <c r="G78" s="48"/>
      <c r="H78" s="42"/>
      <c r="I78" s="83"/>
      <c r="J78" s="11"/>
    </row>
    <row r="79" spans="1:16" x14ac:dyDescent="0.6">
      <c r="A79" s="82" t="s">
        <v>274</v>
      </c>
      <c r="B79" s="105"/>
      <c r="C79" s="175"/>
      <c r="D79" s="83"/>
      <c r="E79" s="41"/>
      <c r="F79" s="54"/>
      <c r="G79" s="48"/>
      <c r="H79" s="42"/>
      <c r="I79" s="83"/>
      <c r="J79" s="11"/>
    </row>
    <row r="80" spans="1:16" x14ac:dyDescent="0.6">
      <c r="A80" s="344" t="s">
        <v>130</v>
      </c>
      <c r="B80" s="105">
        <v>0</v>
      </c>
      <c r="C80" s="175">
        <v>0</v>
      </c>
      <c r="D80" s="83" t="str">
        <f>IF(ISERROR(C80/B80),"n/a",C80/B80)</f>
        <v>n/a</v>
      </c>
      <c r="E80" s="41"/>
      <c r="F80" s="54">
        <v>1.7516721267338493</v>
      </c>
      <c r="G80" s="48"/>
      <c r="H80" s="42">
        <f>C80*F80</f>
        <v>0</v>
      </c>
      <c r="I80" s="83" t="str">
        <f>IF(ISERROR(H80/B80),"n/a",H80/B80)</f>
        <v>n/a</v>
      </c>
      <c r="J80" s="11"/>
    </row>
    <row r="81" spans="1:10" x14ac:dyDescent="0.6">
      <c r="A81" s="343" t="s">
        <v>292</v>
      </c>
      <c r="B81" s="105">
        <v>7812.5180002280404</v>
      </c>
      <c r="C81" s="175">
        <v>1865.4007387920653</v>
      </c>
      <c r="D81" s="83">
        <f>IF(ISERROR(C81/B81),"n/a",C81/B81)</f>
        <v>0.23877074443061969</v>
      </c>
      <c r="E81" s="41"/>
      <c r="F81" s="54">
        <v>1.7516721267338493</v>
      </c>
      <c r="G81" s="48"/>
      <c r="H81" s="42">
        <f>C81*F81</f>
        <v>3267.5704793307909</v>
      </c>
      <c r="I81" s="83">
        <f>IF(ISERROR(H81/B81),"n/a",H81/B81)</f>
        <v>0.41824805769860801</v>
      </c>
      <c r="J81" s="11"/>
    </row>
    <row r="82" spans="1:10" x14ac:dyDescent="0.6">
      <c r="A82" s="344" t="s">
        <v>102</v>
      </c>
      <c r="B82" s="105">
        <f>SUM(B80:B81)</f>
        <v>7812.5180002280404</v>
      </c>
      <c r="C82" s="196">
        <f>SUM(C80:C81)</f>
        <v>1865.4007387920653</v>
      </c>
      <c r="D82" s="83">
        <f>IF(ISERROR(C82/B82),"n/a",C82/B82)</f>
        <v>0.23877074443061969</v>
      </c>
      <c r="E82" s="41"/>
      <c r="F82" s="54"/>
      <c r="G82" s="48"/>
      <c r="H82" s="42">
        <f>SUM(H80:H81)</f>
        <v>3267.5704793307909</v>
      </c>
      <c r="I82" s="83">
        <f>H82/B82</f>
        <v>0.41824805769860801</v>
      </c>
      <c r="J82" s="11"/>
    </row>
    <row r="83" spans="1:10" ht="5.15" customHeight="1" x14ac:dyDescent="0.6">
      <c r="A83" s="111"/>
      <c r="B83" s="105"/>
      <c r="C83" s="175"/>
      <c r="D83" s="83"/>
      <c r="E83" s="41"/>
      <c r="F83" s="54"/>
      <c r="G83" s="48"/>
      <c r="H83" s="42"/>
      <c r="I83" s="83"/>
      <c r="J83" s="11"/>
    </row>
    <row r="84" spans="1:10" x14ac:dyDescent="0.6">
      <c r="A84" s="81" t="s">
        <v>279</v>
      </c>
      <c r="B84" s="105"/>
      <c r="C84" s="175"/>
      <c r="D84" s="83"/>
      <c r="E84" s="41"/>
      <c r="F84" s="54"/>
      <c r="G84" s="48"/>
      <c r="H84" s="42"/>
      <c r="I84" s="83"/>
      <c r="J84" s="11"/>
    </row>
    <row r="85" spans="1:10" x14ac:dyDescent="0.6">
      <c r="A85" s="344" t="s">
        <v>130</v>
      </c>
      <c r="B85" s="105">
        <v>0</v>
      </c>
      <c r="C85" s="175">
        <v>0</v>
      </c>
      <c r="D85" s="83" t="str">
        <f>IF(ISERROR(C85/B85),"n/a",C85/B85)</f>
        <v>n/a</v>
      </c>
      <c r="E85" s="41"/>
      <c r="F85" s="54">
        <v>1.7516721267338493</v>
      </c>
      <c r="G85" s="48"/>
      <c r="H85" s="42">
        <f>C85*F85</f>
        <v>0</v>
      </c>
      <c r="I85" s="83" t="str">
        <f>IF(ISERROR(H85/B85),"n/a",H85/B85)</f>
        <v>n/a</v>
      </c>
      <c r="J85" s="11"/>
    </row>
    <row r="86" spans="1:10" x14ac:dyDescent="0.6">
      <c r="A86" s="343" t="s">
        <v>292</v>
      </c>
      <c r="B86" s="105">
        <v>31871.57269863737</v>
      </c>
      <c r="C86" s="175">
        <v>7609.9991394282579</v>
      </c>
      <c r="D86" s="83">
        <f>IF(ISERROR(C86/B86),"n/a",C86/B86)</f>
        <v>0.23877074443061963</v>
      </c>
      <c r="E86" s="41"/>
      <c r="F86" s="54">
        <v>1.7516721267338493</v>
      </c>
      <c r="G86" s="48"/>
      <c r="H86" s="42">
        <f>C86*F86</f>
        <v>13330.223377005059</v>
      </c>
      <c r="I86" s="83">
        <f>IF(ISERROR(H86/B86),"n/a",H86/B86)</f>
        <v>0.4182480576986079</v>
      </c>
      <c r="J86" s="11"/>
    </row>
    <row r="87" spans="1:10" x14ac:dyDescent="0.6">
      <c r="A87" s="344" t="s">
        <v>102</v>
      </c>
      <c r="B87" s="105">
        <f>SUM(B85:B86)</f>
        <v>31871.57269863737</v>
      </c>
      <c r="C87" s="196">
        <f>SUM(C85:C86)</f>
        <v>7609.9991394282579</v>
      </c>
      <c r="D87" s="83">
        <f>IF(ISERROR(C87/B87),"n/a",C87/B87)</f>
        <v>0.23877074443061963</v>
      </c>
      <c r="E87" s="41"/>
      <c r="F87" s="54"/>
      <c r="G87" s="48"/>
      <c r="H87" s="42">
        <f>SUM(H85:H86)</f>
        <v>13330.223377005059</v>
      </c>
      <c r="I87" s="83">
        <f>H87/B87</f>
        <v>0.4182480576986079</v>
      </c>
      <c r="J87" s="11"/>
    </row>
    <row r="88" spans="1:10" hidden="1" x14ac:dyDescent="0.6">
      <c r="A88" s="343"/>
      <c r="B88" s="105"/>
      <c r="C88" s="196"/>
      <c r="D88" s="83"/>
      <c r="E88" s="41"/>
      <c r="F88" s="54"/>
      <c r="G88" s="48"/>
      <c r="H88" s="42"/>
      <c r="I88" s="83"/>
      <c r="J88" s="11"/>
    </row>
    <row r="89" spans="1:10" hidden="1" x14ac:dyDescent="0.6">
      <c r="A89" s="344"/>
      <c r="B89" s="105"/>
      <c r="C89" s="196"/>
      <c r="D89" s="83"/>
      <c r="E89" s="41"/>
      <c r="F89" s="54"/>
      <c r="G89" s="48"/>
      <c r="H89" s="42"/>
      <c r="I89" s="83"/>
      <c r="J89" s="11"/>
    </row>
    <row r="90" spans="1:10" hidden="1" x14ac:dyDescent="0.6">
      <c r="A90" s="27"/>
      <c r="B90" s="547" t="s">
        <v>193</v>
      </c>
      <c r="C90" s="32">
        <f>SUM(C7,C12,C17,C23,C28,C33,C43,C48,C54,C59)</f>
        <v>0</v>
      </c>
      <c r="D90" s="31">
        <v>0</v>
      </c>
      <c r="E90" s="132"/>
      <c r="F90" s="128">
        <f>C90-D90</f>
        <v>0</v>
      </c>
      <c r="G90" s="78"/>
      <c r="H90" s="64"/>
      <c r="I90" s="64"/>
      <c r="J90" s="11"/>
    </row>
    <row r="91" spans="1:10" hidden="1" x14ac:dyDescent="0.6">
      <c r="A91" s="140"/>
      <c r="B91" s="547" t="s">
        <v>194</v>
      </c>
      <c r="C91" s="32">
        <f>SUM(C8,C13,C18,C24,C29,C34,C44,C49,C55,C60)</f>
        <v>34210.542083834473</v>
      </c>
      <c r="D91" s="31">
        <v>34210.542083834473</v>
      </c>
      <c r="E91" s="130"/>
      <c r="F91" s="128">
        <f>C91-D91</f>
        <v>0</v>
      </c>
      <c r="G91" s="78"/>
      <c r="H91" s="64"/>
      <c r="I91" s="64"/>
      <c r="J91" s="11"/>
    </row>
    <row r="92" spans="1:10" hidden="1" x14ac:dyDescent="0.6">
      <c r="A92" s="140"/>
      <c r="B92" s="547" t="s">
        <v>195</v>
      </c>
      <c r="C92" s="32">
        <f>SUM(C90:C91)</f>
        <v>34210.542083834473</v>
      </c>
      <c r="D92" s="32">
        <f>SUM(D90:D91)</f>
        <v>34210.542083834473</v>
      </c>
      <c r="E92" s="137"/>
      <c r="F92" s="128">
        <f>C92-D92</f>
        <v>0</v>
      </c>
      <c r="G92" s="78"/>
      <c r="H92" s="64"/>
      <c r="I92" s="64"/>
      <c r="J92" s="11"/>
    </row>
    <row r="93" spans="1:10" hidden="1" x14ac:dyDescent="0.6">
      <c r="A93" s="140"/>
      <c r="B93" s="548" t="s">
        <v>196</v>
      </c>
      <c r="C93" s="31">
        <f>C43+C48+C54+C59</f>
        <v>0</v>
      </c>
      <c r="D93" s="31">
        <v>0</v>
      </c>
      <c r="E93" s="130"/>
      <c r="F93" s="128">
        <f>C93-D93</f>
        <v>0</v>
      </c>
      <c r="G93" s="78"/>
      <c r="H93" s="64"/>
      <c r="I93" s="64"/>
      <c r="J93" s="11"/>
    </row>
    <row r="94" spans="1:10" hidden="1" x14ac:dyDescent="0.6">
      <c r="A94" s="140"/>
      <c r="B94" s="548" t="s">
        <v>197</v>
      </c>
      <c r="C94" s="31">
        <f>C44+C49+C55+C60</f>
        <v>1188.3317068461381</v>
      </c>
      <c r="D94" s="31">
        <v>1188.3317068461381</v>
      </c>
      <c r="E94" s="130"/>
      <c r="F94" s="128">
        <f>C94-D94</f>
        <v>0</v>
      </c>
      <c r="G94" s="78"/>
      <c r="H94" s="64"/>
      <c r="I94" s="64"/>
      <c r="J94" s="11"/>
    </row>
    <row r="95" spans="1:10" hidden="1" x14ac:dyDescent="0.6">
      <c r="A95" s="11"/>
      <c r="C95" s="64"/>
      <c r="D95" s="64"/>
      <c r="E95" s="64"/>
      <c r="F95" s="78"/>
      <c r="G95" s="78"/>
      <c r="H95" s="64"/>
      <c r="I95" s="64"/>
      <c r="J95" s="11"/>
    </row>
    <row r="96" spans="1:10" hidden="1" x14ac:dyDescent="0.6">
      <c r="A96" s="11"/>
      <c r="C96" s="64"/>
      <c r="D96" s="64"/>
      <c r="E96" s="64"/>
      <c r="F96" s="78"/>
      <c r="G96" s="78"/>
      <c r="H96" s="64"/>
      <c r="I96" s="64"/>
      <c r="J96" s="11"/>
    </row>
    <row r="97" spans="1:10" hidden="1" x14ac:dyDescent="0.6">
      <c r="A97" s="347" t="s">
        <v>198</v>
      </c>
      <c r="B97" s="133">
        <v>0</v>
      </c>
      <c r="C97" s="136" t="s">
        <v>199</v>
      </c>
      <c r="D97" s="64"/>
      <c r="E97" s="64"/>
      <c r="F97" s="78"/>
      <c r="G97" s="78"/>
      <c r="H97" s="64"/>
      <c r="I97" s="64"/>
      <c r="J97" s="11"/>
    </row>
    <row r="98" spans="1:10" hidden="1" x14ac:dyDescent="0.6">
      <c r="A98" s="347" t="s">
        <v>200</v>
      </c>
      <c r="B98" s="133">
        <v>0</v>
      </c>
      <c r="C98" s="64" t="s">
        <v>201</v>
      </c>
      <c r="D98" s="64"/>
      <c r="E98" s="64"/>
      <c r="F98" s="78"/>
      <c r="G98" s="78"/>
      <c r="H98" s="64"/>
      <c r="I98" s="64"/>
      <c r="J98" s="11"/>
    </row>
    <row r="99" spans="1:10" hidden="1" x14ac:dyDescent="0.6">
      <c r="A99" s="347" t="s">
        <v>202</v>
      </c>
      <c r="B99" s="133">
        <v>0</v>
      </c>
      <c r="C99" s="64"/>
      <c r="D99" s="64"/>
      <c r="E99" s="64"/>
      <c r="F99" s="78"/>
      <c r="G99" s="78"/>
      <c r="H99" s="64"/>
      <c r="I99" s="64"/>
      <c r="J99" s="11"/>
    </row>
    <row r="100" spans="1:10" hidden="1" x14ac:dyDescent="0.6">
      <c r="A100" s="347" t="s">
        <v>203</v>
      </c>
      <c r="B100" s="133">
        <v>0</v>
      </c>
      <c r="C100" s="136" t="s">
        <v>204</v>
      </c>
      <c r="D100" s="64"/>
      <c r="E100" s="64"/>
      <c r="F100" s="78"/>
      <c r="G100" s="78"/>
      <c r="H100" s="64"/>
      <c r="I100" s="64"/>
      <c r="J100" s="11"/>
    </row>
    <row r="101" spans="1:10" hidden="1" x14ac:dyDescent="0.6">
      <c r="A101" s="347" t="s">
        <v>205</v>
      </c>
      <c r="B101" s="133">
        <v>0</v>
      </c>
      <c r="C101" s="64"/>
      <c r="D101" s="64"/>
      <c r="E101" s="64"/>
      <c r="F101" s="78"/>
      <c r="G101" s="78"/>
      <c r="H101" s="64"/>
      <c r="I101" s="64"/>
      <c r="J101" s="11"/>
    </row>
    <row r="102" spans="1:10" hidden="1" x14ac:dyDescent="0.6">
      <c r="A102" s="11"/>
      <c r="C102" s="64"/>
      <c r="D102" s="64"/>
      <c r="E102" s="64"/>
      <c r="F102" s="78"/>
      <c r="G102" s="78"/>
      <c r="H102" s="64"/>
      <c r="I102" s="64"/>
      <c r="J102" s="11"/>
    </row>
    <row r="103" spans="1:10" hidden="1" x14ac:dyDescent="0.6">
      <c r="A103" s="140"/>
      <c r="B103" s="548" t="s">
        <v>231</v>
      </c>
      <c r="C103" s="32"/>
      <c r="D103" s="32"/>
      <c r="E103" s="64"/>
      <c r="F103" s="128">
        <f>C103-D103</f>
        <v>0</v>
      </c>
      <c r="G103" s="78"/>
      <c r="H103" s="242"/>
      <c r="I103" s="64"/>
      <c r="J103" s="11"/>
    </row>
    <row r="104" spans="1:10" hidden="1" x14ac:dyDescent="0.6">
      <c r="A104" s="140"/>
      <c r="B104" s="548" t="s">
        <v>232</v>
      </c>
      <c r="C104" s="32">
        <f>C24+C29+C34</f>
        <v>15328.931869169082</v>
      </c>
      <c r="D104" s="32">
        <v>15328.931869169086</v>
      </c>
      <c r="E104" s="64"/>
      <c r="F104" s="128">
        <f>C104-D104</f>
        <v>0</v>
      </c>
      <c r="G104" s="78"/>
      <c r="H104" s="242"/>
      <c r="I104" s="64"/>
      <c r="J104" s="11"/>
    </row>
    <row r="105" spans="1:10" hidden="1" x14ac:dyDescent="0.6">
      <c r="A105" s="140"/>
      <c r="B105" s="548"/>
      <c r="C105" s="32"/>
      <c r="D105" s="32"/>
      <c r="E105" s="64"/>
      <c r="F105" s="128"/>
      <c r="G105" s="78"/>
      <c r="H105" s="242"/>
      <c r="I105" s="64"/>
      <c r="J105" s="11"/>
    </row>
    <row r="106" spans="1:10" hidden="1" x14ac:dyDescent="0.6">
      <c r="A106" s="140"/>
      <c r="B106" s="347" t="s">
        <v>293</v>
      </c>
      <c r="C106" s="32">
        <f>C69+C80</f>
        <v>0</v>
      </c>
      <c r="D106" s="32">
        <v>0</v>
      </c>
      <c r="E106" s="64"/>
      <c r="F106" s="128">
        <f>C106-D106</f>
        <v>0</v>
      </c>
      <c r="G106" s="78"/>
      <c r="H106" s="242"/>
      <c r="I106" s="64"/>
      <c r="J106" s="11"/>
    </row>
    <row r="107" spans="1:10" hidden="1" x14ac:dyDescent="0.6">
      <c r="A107" s="140"/>
      <c r="B107" s="347" t="s">
        <v>294</v>
      </c>
      <c r="C107" s="32">
        <f>C70+C81</f>
        <v>1967.1900780313242</v>
      </c>
      <c r="D107" s="32">
        <v>1967.1900780313242</v>
      </c>
      <c r="E107" s="64"/>
      <c r="F107" s="128">
        <f>C107-D107</f>
        <v>0</v>
      </c>
      <c r="G107" s="78"/>
      <c r="H107" s="242"/>
      <c r="I107" s="64"/>
      <c r="J107" s="11"/>
    </row>
    <row r="108" spans="1:10" hidden="1" x14ac:dyDescent="0.6">
      <c r="A108" s="140"/>
      <c r="B108" s="347" t="s">
        <v>295</v>
      </c>
      <c r="C108" s="32">
        <f>C74+C85</f>
        <v>0</v>
      </c>
      <c r="D108" s="32">
        <v>0</v>
      </c>
      <c r="E108" s="64"/>
      <c r="F108" s="128">
        <f>C108-D108</f>
        <v>0</v>
      </c>
      <c r="G108" s="78"/>
      <c r="H108" s="242"/>
      <c r="I108" s="64"/>
      <c r="J108" s="11"/>
    </row>
    <row r="109" spans="1:10" hidden="1" x14ac:dyDescent="0.6">
      <c r="A109" s="140"/>
      <c r="B109" s="347" t="s">
        <v>296</v>
      </c>
      <c r="C109" s="32">
        <f>C75+C86</f>
        <v>8025.2540323341836</v>
      </c>
      <c r="D109" s="32">
        <v>8025.2540323341836</v>
      </c>
      <c r="E109" s="64"/>
      <c r="F109" s="128">
        <f>C109-D109</f>
        <v>0</v>
      </c>
      <c r="G109" s="78"/>
      <c r="H109" s="242"/>
      <c r="I109" s="64"/>
      <c r="J109" s="11"/>
    </row>
    <row r="110" spans="1:10" hidden="1" x14ac:dyDescent="0.6">
      <c r="A110" s="140"/>
      <c r="B110" s="347"/>
      <c r="C110" s="32"/>
      <c r="D110" s="32"/>
      <c r="E110" s="348"/>
      <c r="F110" s="349"/>
      <c r="G110" s="78"/>
      <c r="H110" s="242"/>
      <c r="I110" s="64"/>
      <c r="J110" s="11"/>
    </row>
    <row r="111" spans="1:10" hidden="1" x14ac:dyDescent="0.6">
      <c r="A111" s="145" t="s">
        <v>297</v>
      </c>
      <c r="B111" s="133">
        <v>0</v>
      </c>
      <c r="C111" s="32"/>
      <c r="D111" s="32"/>
      <c r="E111" s="64"/>
      <c r="F111" s="349"/>
      <c r="G111" s="78"/>
      <c r="H111" s="242"/>
      <c r="I111" s="64"/>
      <c r="J111" s="11"/>
    </row>
    <row r="112" spans="1:10" hidden="1" x14ac:dyDescent="0.6">
      <c r="A112" s="145" t="s">
        <v>298</v>
      </c>
      <c r="B112" s="133">
        <v>0</v>
      </c>
      <c r="C112" s="32"/>
      <c r="D112" s="32"/>
      <c r="E112" s="64"/>
      <c r="F112" s="349"/>
      <c r="G112" s="78"/>
      <c r="H112" s="242"/>
      <c r="I112" s="64"/>
      <c r="J112" s="11"/>
    </row>
    <row r="113" spans="1:10" hidden="1" x14ac:dyDescent="0.6">
      <c r="A113" s="145" t="s">
        <v>299</v>
      </c>
      <c r="B113" s="133">
        <v>0</v>
      </c>
      <c r="C113" s="32"/>
      <c r="D113" s="32"/>
      <c r="E113" s="64"/>
      <c r="F113" s="349"/>
      <c r="G113" s="78"/>
      <c r="H113" s="242"/>
      <c r="I113" s="64"/>
      <c r="J113" s="11"/>
    </row>
    <row r="114" spans="1:10" hidden="1" x14ac:dyDescent="0.6">
      <c r="A114" s="145" t="s">
        <v>300</v>
      </c>
      <c r="B114" s="133">
        <v>0</v>
      </c>
      <c r="C114" s="32"/>
      <c r="D114" s="32"/>
      <c r="E114" s="64"/>
      <c r="F114" s="349"/>
      <c r="G114" s="78"/>
      <c r="H114" s="242"/>
      <c r="I114" s="64"/>
      <c r="J114" s="11"/>
    </row>
    <row r="115" spans="1:10" x14ac:dyDescent="0.6">
      <c r="A115" s="141"/>
      <c r="B115" s="283"/>
      <c r="C115" s="293"/>
      <c r="D115" s="293"/>
      <c r="E115" s="293"/>
      <c r="F115" s="78"/>
      <c r="G115" s="78"/>
      <c r="H115" s="64"/>
      <c r="I115" s="64"/>
      <c r="J115" s="11"/>
    </row>
    <row r="116" spans="1:10" x14ac:dyDescent="0.6">
      <c r="A116" s="11" t="s">
        <v>235</v>
      </c>
      <c r="C116" s="64"/>
      <c r="D116" s="64"/>
      <c r="E116" s="64"/>
      <c r="F116" s="78"/>
      <c r="G116" s="78"/>
      <c r="H116" s="64"/>
      <c r="I116" s="64"/>
      <c r="J116" s="11"/>
    </row>
    <row r="117" spans="1:10" x14ac:dyDescent="0.6">
      <c r="A117" s="25" t="s">
        <v>802</v>
      </c>
      <c r="C117" s="64"/>
      <c r="D117" s="64"/>
      <c r="E117" s="64"/>
      <c r="F117" s="78"/>
      <c r="G117" s="78"/>
      <c r="H117" s="64"/>
      <c r="I117" s="64"/>
      <c r="J117" s="11"/>
    </row>
    <row r="118" spans="1:10" x14ac:dyDescent="0.6">
      <c r="A118" s="25" t="s">
        <v>795</v>
      </c>
      <c r="C118" s="64"/>
      <c r="D118" s="64"/>
      <c r="E118" s="64"/>
      <c r="F118" s="78"/>
      <c r="G118" s="78"/>
      <c r="H118" s="64"/>
      <c r="I118" s="64"/>
      <c r="J118" s="11"/>
    </row>
    <row r="119" spans="1:10" x14ac:dyDescent="0.6">
      <c r="A119" s="11"/>
      <c r="C119" s="64"/>
      <c r="D119" s="64"/>
      <c r="E119" s="64"/>
      <c r="F119" s="78"/>
      <c r="G119" s="78"/>
      <c r="H119" s="64"/>
      <c r="I119" s="64"/>
      <c r="J119" s="11"/>
    </row>
    <row r="120" spans="1:10" x14ac:dyDescent="0.6">
      <c r="A120" s="11"/>
      <c r="C120" s="64"/>
      <c r="D120" s="64"/>
      <c r="E120" s="64"/>
      <c r="F120" s="78"/>
      <c r="G120" s="78"/>
      <c r="H120" s="64"/>
      <c r="I120" s="64"/>
      <c r="J120" s="11"/>
    </row>
    <row r="121" spans="1:10" x14ac:dyDescent="0.6">
      <c r="A121" s="11"/>
      <c r="C121" s="64"/>
      <c r="D121" s="64"/>
      <c r="E121" s="64"/>
      <c r="F121" s="78"/>
      <c r="G121" s="78"/>
      <c r="H121" s="64"/>
      <c r="I121" s="64"/>
      <c r="J121" s="11"/>
    </row>
    <row r="122" spans="1:10" x14ac:dyDescent="0.6">
      <c r="A122" s="11"/>
      <c r="C122" s="64"/>
      <c r="D122" s="64"/>
      <c r="E122" s="64"/>
      <c r="F122" s="78"/>
      <c r="G122" s="78"/>
      <c r="H122" s="64"/>
      <c r="I122" s="64"/>
      <c r="J122" s="11"/>
    </row>
    <row r="123" spans="1:10" x14ac:dyDescent="0.6">
      <c r="A123" s="11"/>
      <c r="C123" s="64"/>
      <c r="D123" s="64"/>
      <c r="E123" s="64"/>
      <c r="F123" s="78"/>
      <c r="G123" s="78"/>
      <c r="H123" s="64"/>
      <c r="I123" s="64"/>
      <c r="J123" s="11"/>
    </row>
    <row r="124" spans="1:10" x14ac:dyDescent="0.6">
      <c r="A124" s="11"/>
      <c r="C124" s="64"/>
      <c r="D124" s="64"/>
      <c r="E124" s="64"/>
      <c r="F124" s="78"/>
      <c r="G124" s="78"/>
      <c r="H124" s="64"/>
      <c r="I124" s="64"/>
      <c r="J124" s="11"/>
    </row>
    <row r="125" spans="1:10" x14ac:dyDescent="0.6">
      <c r="A125" s="11"/>
      <c r="C125" s="64"/>
      <c r="D125" s="64"/>
      <c r="E125" s="64"/>
      <c r="F125" s="78"/>
      <c r="G125" s="78"/>
      <c r="H125" s="64"/>
      <c r="I125" s="64"/>
      <c r="J125" s="11"/>
    </row>
  </sheetData>
  <phoneticPr fontId="5" type="noConversion"/>
  <printOptions horizontalCentered="1"/>
  <pageMargins left="0.75" right="0.75" top="1" bottom="1" header="0.5" footer="0.5"/>
  <pageSetup fitToHeight="3" orientation="landscape" r:id="rId1"/>
  <headerFooter alignWithMargins="0">
    <oddFooter>&amp;L&amp;F</oddFooter>
  </headerFooter>
  <rowBreaks count="2" manualBreakCount="2">
    <brk id="36" max="16383" man="1"/>
    <brk id="6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P125"/>
  <sheetViews>
    <sheetView zoomScale="70" zoomScaleNormal="70" workbookViewId="0"/>
  </sheetViews>
  <sheetFormatPr defaultRowHeight="13" x14ac:dyDescent="0.6"/>
  <cols>
    <col min="1" max="1" width="29.453125" customWidth="1"/>
    <col min="2" max="4" width="11.6796875" customWidth="1"/>
    <col min="5" max="5" width="2.6796875" customWidth="1"/>
    <col min="6" max="6" width="11.6796875" customWidth="1"/>
    <col min="7" max="7" width="2.6796875" customWidth="1"/>
    <col min="8" max="9" width="11.6796875" customWidth="1"/>
    <col min="11" max="11" width="9.31640625" bestFit="1" customWidth="1"/>
  </cols>
  <sheetData>
    <row r="1" spans="1:16" ht="15.75" customHeight="1" x14ac:dyDescent="0.7">
      <c r="A1" s="158" t="s">
        <v>561</v>
      </c>
    </row>
    <row r="2" spans="1:16" ht="15.75" customHeight="1" x14ac:dyDescent="0.7">
      <c r="A2" s="158" t="s">
        <v>787</v>
      </c>
    </row>
    <row r="3" spans="1:16" ht="26" x14ac:dyDescent="0.6">
      <c r="B3" s="168" t="s">
        <v>250</v>
      </c>
      <c r="C3" s="189" t="s">
        <v>249</v>
      </c>
      <c r="D3" s="8" t="s">
        <v>104</v>
      </c>
      <c r="E3" s="8"/>
      <c r="F3" s="199" t="s">
        <v>246</v>
      </c>
      <c r="G3" s="87"/>
      <c r="H3" s="160" t="s">
        <v>218</v>
      </c>
      <c r="I3" s="41" t="s">
        <v>133</v>
      </c>
      <c r="J3" s="11"/>
    </row>
    <row r="4" spans="1:16" x14ac:dyDescent="0.6">
      <c r="A4" s="15" t="s">
        <v>291</v>
      </c>
      <c r="B4" s="168"/>
      <c r="C4" s="189"/>
      <c r="D4" s="8"/>
      <c r="E4" s="8"/>
      <c r="F4" s="199"/>
      <c r="G4" s="87"/>
      <c r="H4" s="160"/>
      <c r="I4" s="41"/>
      <c r="J4" s="11"/>
    </row>
    <row r="5" spans="1:16" ht="12.75" customHeight="1" x14ac:dyDescent="0.6">
      <c r="A5" s="89" t="s">
        <v>174</v>
      </c>
      <c r="B5" s="168"/>
      <c r="C5" s="189"/>
      <c r="D5" s="8"/>
      <c r="E5" s="8"/>
      <c r="F5" s="87"/>
      <c r="G5" s="87"/>
      <c r="H5" s="160"/>
      <c r="I5" s="41"/>
      <c r="J5" s="11"/>
    </row>
    <row r="6" spans="1:16" x14ac:dyDescent="0.6">
      <c r="A6" s="81" t="s">
        <v>278</v>
      </c>
      <c r="C6" s="52"/>
      <c r="D6" s="3"/>
      <c r="E6" s="3"/>
      <c r="F6" s="74"/>
      <c r="G6" s="74"/>
      <c r="H6" s="3"/>
      <c r="I6" s="3"/>
      <c r="J6" s="11"/>
    </row>
    <row r="7" spans="1:16" x14ac:dyDescent="0.6">
      <c r="A7" s="344" t="s">
        <v>130</v>
      </c>
      <c r="B7" s="105">
        <v>0</v>
      </c>
      <c r="C7" s="196">
        <v>0</v>
      </c>
      <c r="D7" s="83" t="str">
        <f>IF(ISERROR(C7/B7),"n/a",C7/B7)</f>
        <v>n/a</v>
      </c>
      <c r="E7" s="41"/>
      <c r="F7" s="54">
        <v>1.7516721267338493</v>
      </c>
      <c r="G7" s="75"/>
      <c r="H7" s="42">
        <f>C7*F7</f>
        <v>0</v>
      </c>
      <c r="I7" s="83" t="str">
        <f>IF(ISERROR(H7/B7),"n/a",H7/B7)</f>
        <v>n/a</v>
      </c>
      <c r="J7" s="11"/>
      <c r="K7" s="345"/>
      <c r="L7" s="27"/>
      <c r="M7" s="27"/>
      <c r="N7" s="27"/>
      <c r="O7" s="27"/>
      <c r="P7" s="27"/>
    </row>
    <row r="8" spans="1:16" x14ac:dyDescent="0.6">
      <c r="A8" s="343" t="s">
        <v>292</v>
      </c>
      <c r="B8" s="105">
        <v>33658.689836789912</v>
      </c>
      <c r="C8" s="196">
        <v>5444.7465284823174</v>
      </c>
      <c r="D8" s="83">
        <f>IF(ISERROR(C8/B8),"n/a",C8/B8)</f>
        <v>0.16176347192608351</v>
      </c>
      <c r="E8" s="41"/>
      <c r="F8" s="54">
        <v>1.7516721267338493</v>
      </c>
      <c r="G8" s="75"/>
      <c r="H8" s="42">
        <f>C8*F8</f>
        <v>9537.4107310733634</v>
      </c>
      <c r="I8" s="83">
        <f>IF(ISERROR(H8/B8),"n/a",H8/B8)</f>
        <v>0.28335656489661404</v>
      </c>
      <c r="J8" s="11"/>
      <c r="K8" s="27"/>
      <c r="L8" s="27"/>
      <c r="M8" s="27"/>
      <c r="N8" s="27"/>
      <c r="O8" s="27"/>
      <c r="P8" s="27"/>
    </row>
    <row r="9" spans="1:16" x14ac:dyDescent="0.6">
      <c r="A9" s="344" t="s">
        <v>102</v>
      </c>
      <c r="B9" s="105">
        <f>SUM(B7:B8)</f>
        <v>33658.689836789912</v>
      </c>
      <c r="C9" s="175">
        <f>SUM(C7:C8)</f>
        <v>5444.7465284823174</v>
      </c>
      <c r="D9" s="83">
        <f>IF(ISERROR(C9/B9),"n/a",C9/B9)</f>
        <v>0.16176347192608351</v>
      </c>
      <c r="E9" s="41"/>
      <c r="F9" s="54"/>
      <c r="G9" s="48"/>
      <c r="H9" s="42">
        <f>SUM(H7:H8)</f>
        <v>9537.4107310733634</v>
      </c>
      <c r="I9" s="83">
        <f>H9/B9</f>
        <v>0.28335656489661404</v>
      </c>
      <c r="J9" s="11"/>
      <c r="K9" s="27"/>
      <c r="L9" s="27"/>
      <c r="M9" s="27"/>
      <c r="N9" s="27"/>
      <c r="O9" s="27"/>
      <c r="P9" s="27"/>
    </row>
    <row r="10" spans="1:16" ht="5.15" customHeight="1" x14ac:dyDescent="0.6">
      <c r="A10" s="82"/>
      <c r="B10" s="105"/>
      <c r="C10" s="175"/>
      <c r="D10" s="83"/>
      <c r="E10" s="41"/>
      <c r="F10" s="54"/>
      <c r="G10" s="48"/>
      <c r="H10" s="42"/>
      <c r="I10" s="83"/>
      <c r="J10" s="11"/>
    </row>
    <row r="11" spans="1:16" x14ac:dyDescent="0.6">
      <c r="A11" s="81" t="s">
        <v>274</v>
      </c>
      <c r="B11" s="14"/>
      <c r="C11" s="196"/>
      <c r="D11" s="83"/>
      <c r="E11" s="41"/>
      <c r="F11" s="75"/>
      <c r="G11" s="75"/>
      <c r="H11" s="42"/>
      <c r="I11" s="83"/>
      <c r="J11" s="11"/>
    </row>
    <row r="12" spans="1:16" x14ac:dyDescent="0.6">
      <c r="A12" s="344" t="s">
        <v>130</v>
      </c>
      <c r="B12" s="105">
        <v>0</v>
      </c>
      <c r="C12" s="196">
        <v>0</v>
      </c>
      <c r="D12" s="83" t="str">
        <f>IF(ISERROR(C12/B12),"n/a",C12/B12)</f>
        <v>n/a</v>
      </c>
      <c r="E12" s="41"/>
      <c r="F12" s="54">
        <v>1.7516721267338493</v>
      </c>
      <c r="G12" s="48"/>
      <c r="H12" s="42">
        <f>C12*F12</f>
        <v>0</v>
      </c>
      <c r="I12" s="83" t="str">
        <f>IF(ISERROR(H12/B12),"n/a",H12/B12)</f>
        <v>n/a</v>
      </c>
      <c r="J12" s="11"/>
    </row>
    <row r="13" spans="1:16" x14ac:dyDescent="0.6">
      <c r="A13" s="343" t="s">
        <v>292</v>
      </c>
      <c r="B13" s="105">
        <v>11572.31476771384</v>
      </c>
      <c r="C13" s="196">
        <v>1871.977815046879</v>
      </c>
      <c r="D13" s="83">
        <f>IF(ISERROR(C13/B13),"n/a",C13/B13)</f>
        <v>0.16176347192608348</v>
      </c>
      <c r="E13" s="41"/>
      <c r="F13" s="54">
        <v>1.7516721267338493</v>
      </c>
      <c r="G13" s="48"/>
      <c r="H13" s="42">
        <f>C13*F13</f>
        <v>3279.0913604817511</v>
      </c>
      <c r="I13" s="83">
        <f>IF(ISERROR(H13/B13),"n/a",H13/B13)</f>
        <v>0.28335656489661398</v>
      </c>
      <c r="J13" s="11"/>
    </row>
    <row r="14" spans="1:16" x14ac:dyDescent="0.6">
      <c r="A14" s="344" t="s">
        <v>102</v>
      </c>
      <c r="B14" s="105">
        <f>SUM(B12:B13)</f>
        <v>11572.31476771384</v>
      </c>
      <c r="C14" s="175">
        <f>SUM(C12:C13)</f>
        <v>1871.977815046879</v>
      </c>
      <c r="D14" s="83">
        <f>IF(ISERROR(C14/B14),"n/a",C14/B14)</f>
        <v>0.16176347192608348</v>
      </c>
      <c r="E14" s="41"/>
      <c r="F14" s="54"/>
      <c r="G14" s="48"/>
      <c r="H14" s="42">
        <f>SUM(H12:H13)</f>
        <v>3279.0913604817511</v>
      </c>
      <c r="I14" s="83">
        <f>H14/B14</f>
        <v>0.28335656489661398</v>
      </c>
      <c r="J14" s="11"/>
    </row>
    <row r="15" spans="1:16" ht="5.15" customHeight="1" x14ac:dyDescent="0.6">
      <c r="A15" s="82"/>
      <c r="B15" s="105"/>
      <c r="C15" s="175"/>
      <c r="D15" s="83"/>
      <c r="E15" s="41"/>
      <c r="F15" s="54"/>
      <c r="G15" s="48"/>
      <c r="H15" s="42"/>
      <c r="I15" s="83"/>
      <c r="J15" s="11"/>
    </row>
    <row r="16" spans="1:16" x14ac:dyDescent="0.6">
      <c r="A16" s="81" t="s">
        <v>279</v>
      </c>
      <c r="B16" s="105"/>
      <c r="C16" s="196"/>
      <c r="D16" s="92"/>
      <c r="E16" s="92"/>
      <c r="F16" s="54"/>
      <c r="G16" s="54"/>
      <c r="H16" s="46"/>
      <c r="I16" s="85"/>
      <c r="J16" s="11"/>
    </row>
    <row r="17" spans="1:10" x14ac:dyDescent="0.6">
      <c r="A17" s="344" t="s">
        <v>130</v>
      </c>
      <c r="B17" s="105">
        <v>0</v>
      </c>
      <c r="C17" s="196">
        <v>0</v>
      </c>
      <c r="D17" s="83" t="str">
        <f>IF(ISERROR(C17/B17),"n/a",C17/B17)</f>
        <v>n/a</v>
      </c>
      <c r="E17" s="41"/>
      <c r="F17" s="54">
        <v>1.7516721267338493</v>
      </c>
      <c r="G17" s="54"/>
      <c r="H17" s="42">
        <f>C17*F17</f>
        <v>0</v>
      </c>
      <c r="I17" s="83" t="str">
        <f>IF(ISERROR(H17/B17),"n/a",H17/B17)</f>
        <v>n/a</v>
      </c>
      <c r="J17" s="11"/>
    </row>
    <row r="18" spans="1:10" x14ac:dyDescent="0.6">
      <c r="A18" s="343" t="s">
        <v>292</v>
      </c>
      <c r="B18" s="105">
        <v>2794.6919814920739</v>
      </c>
      <c r="C18" s="196">
        <v>452.07907789014371</v>
      </c>
      <c r="D18" s="83">
        <f>IF(ISERROR(C18/B18),"n/a",C18/B18)</f>
        <v>0.16176347192608348</v>
      </c>
      <c r="E18" s="41"/>
      <c r="F18" s="54">
        <v>1.7516721267338493</v>
      </c>
      <c r="G18" s="54"/>
      <c r="H18" s="42">
        <f>C18*F18</f>
        <v>791.89431981970552</v>
      </c>
      <c r="I18" s="83">
        <f>IF(ISERROR(H18/B18),"n/a",H18/B18)</f>
        <v>0.28335656489661398</v>
      </c>
      <c r="J18" s="11"/>
    </row>
    <row r="19" spans="1:10" x14ac:dyDescent="0.6">
      <c r="A19" s="344" t="s">
        <v>102</v>
      </c>
      <c r="B19" s="105">
        <f>SUM(B17:B18)</f>
        <v>2794.6919814920739</v>
      </c>
      <c r="C19" s="175">
        <f>SUM(C17:C18)</f>
        <v>452.07907789014371</v>
      </c>
      <c r="D19" s="83">
        <f>IF(ISERROR(C19/B19),"n/a",C19/B19)</f>
        <v>0.16176347192608348</v>
      </c>
      <c r="E19" s="41"/>
      <c r="F19" s="54"/>
      <c r="G19" s="48"/>
      <c r="H19" s="42">
        <f>SUM(H17:H18)</f>
        <v>791.89431981970552</v>
      </c>
      <c r="I19" s="83">
        <f>H19/B19</f>
        <v>0.28335656489661398</v>
      </c>
      <c r="J19" s="11"/>
    </row>
    <row r="20" spans="1:10" x14ac:dyDescent="0.6">
      <c r="A20" s="11"/>
      <c r="B20" s="105"/>
      <c r="C20" s="175"/>
      <c r="D20" s="83"/>
      <c r="E20" s="41"/>
      <c r="F20" s="54"/>
      <c r="G20" s="48"/>
      <c r="H20" s="42"/>
      <c r="I20" s="83"/>
      <c r="J20" s="11"/>
    </row>
    <row r="21" spans="1:10" x14ac:dyDescent="0.6">
      <c r="A21" s="89" t="s">
        <v>175</v>
      </c>
      <c r="B21" s="14"/>
      <c r="C21" s="196"/>
      <c r="D21" s="85"/>
      <c r="E21" s="45"/>
      <c r="F21" s="76"/>
      <c r="G21" s="76"/>
      <c r="H21" s="46"/>
      <c r="I21" s="85"/>
      <c r="J21" s="11"/>
    </row>
    <row r="22" spans="1:10" x14ac:dyDescent="0.6">
      <c r="A22" s="81" t="s">
        <v>278</v>
      </c>
      <c r="B22" s="48"/>
      <c r="C22" s="196"/>
      <c r="D22" s="92"/>
      <c r="E22" s="48"/>
      <c r="F22" s="48"/>
      <c r="G22" s="48"/>
      <c r="H22" s="196"/>
      <c r="I22" s="92"/>
      <c r="J22" s="11"/>
    </row>
    <row r="23" spans="1:10" x14ac:dyDescent="0.6">
      <c r="A23" s="344" t="s">
        <v>130</v>
      </c>
      <c r="B23" s="105">
        <v>0</v>
      </c>
      <c r="C23" s="196">
        <f>D23*B23</f>
        <v>0</v>
      </c>
      <c r="D23" s="83">
        <v>0</v>
      </c>
      <c r="E23" s="41"/>
      <c r="F23" s="54">
        <v>1.7516721267338493</v>
      </c>
      <c r="G23" s="48"/>
      <c r="H23" s="42">
        <f>C23*F23</f>
        <v>0</v>
      </c>
      <c r="I23" s="83" t="str">
        <f>IF(ISERROR(H23/B23),"n/a",H23/B23)</f>
        <v>n/a</v>
      </c>
      <c r="J23" s="11"/>
    </row>
    <row r="24" spans="1:10" x14ac:dyDescent="0.6">
      <c r="A24" s="343" t="s">
        <v>292</v>
      </c>
      <c r="B24" s="105">
        <v>1537.0118199471876</v>
      </c>
      <c r="C24" s="196">
        <f>D24*B24</f>
        <v>457.21326615775718</v>
      </c>
      <c r="D24" s="83">
        <v>0.29746893304533417</v>
      </c>
      <c r="E24" s="41"/>
      <c r="F24" s="54">
        <v>1.7516721267338493</v>
      </c>
      <c r="G24" s="48"/>
      <c r="H24" s="42">
        <f>C24*F24</f>
        <v>800.88773430148797</v>
      </c>
      <c r="I24" s="83">
        <f>IF(ISERROR(H24/B24),"n/a",H24/B24)</f>
        <v>0.52106803858476947</v>
      </c>
      <c r="J24" s="11"/>
    </row>
    <row r="25" spans="1:10" x14ac:dyDescent="0.6">
      <c r="A25" s="344" t="s">
        <v>102</v>
      </c>
      <c r="B25" s="105">
        <f>SUM(B23:B24)</f>
        <v>1537.0118199471876</v>
      </c>
      <c r="C25" s="175">
        <f>SUM(C23:C24)</f>
        <v>457.21326615775718</v>
      </c>
      <c r="D25" s="83">
        <f>IF(ISERROR(C25/B25),"n/a",C25/B25)</f>
        <v>0.29746893304533417</v>
      </c>
      <c r="E25" s="41"/>
      <c r="F25" s="54"/>
      <c r="G25" s="48"/>
      <c r="H25" s="42">
        <f>SUM(H23:H24)</f>
        <v>800.88773430148797</v>
      </c>
      <c r="I25" s="83">
        <f>H25/B25</f>
        <v>0.52106803858476947</v>
      </c>
      <c r="J25" s="11"/>
    </row>
    <row r="26" spans="1:10" ht="5.15" customHeight="1" x14ac:dyDescent="0.6">
      <c r="A26" s="82"/>
      <c r="B26" s="14"/>
      <c r="C26" s="196"/>
      <c r="D26" s="92"/>
      <c r="E26" s="202"/>
      <c r="F26" s="203"/>
      <c r="G26" s="203"/>
      <c r="H26" s="196"/>
      <c r="I26" s="92"/>
      <c r="J26" s="11"/>
    </row>
    <row r="27" spans="1:10" x14ac:dyDescent="0.6">
      <c r="A27" s="81" t="s">
        <v>274</v>
      </c>
      <c r="B27" s="48"/>
      <c r="C27" s="196"/>
      <c r="D27" s="92"/>
      <c r="E27" s="48"/>
      <c r="F27" s="48"/>
      <c r="G27" s="48"/>
      <c r="H27" s="196"/>
      <c r="I27" s="92"/>
      <c r="J27" s="11"/>
    </row>
    <row r="28" spans="1:10" x14ac:dyDescent="0.6">
      <c r="A28" s="344" t="s">
        <v>130</v>
      </c>
      <c r="B28" s="105">
        <v>0</v>
      </c>
      <c r="C28" s="196">
        <f>D28*B28</f>
        <v>0</v>
      </c>
      <c r="D28" s="83">
        <v>0</v>
      </c>
      <c r="E28" s="41"/>
      <c r="F28" s="54">
        <v>1.7516721267338493</v>
      </c>
      <c r="G28" s="76"/>
      <c r="H28" s="42">
        <f>C28*F28</f>
        <v>0</v>
      </c>
      <c r="I28" s="83" t="str">
        <f>IF(ISERROR(H28/B28),"n/a",H28/B28)</f>
        <v>n/a</v>
      </c>
      <c r="J28" s="11"/>
    </row>
    <row r="29" spans="1:10" x14ac:dyDescent="0.6">
      <c r="A29" s="343" t="s">
        <v>292</v>
      </c>
      <c r="B29" s="105">
        <v>69.3602816051513</v>
      </c>
      <c r="C29" s="196">
        <f>D29*B29</f>
        <v>20.632528964808277</v>
      </c>
      <c r="D29" s="83">
        <v>0.29746893304533417</v>
      </c>
      <c r="E29" s="41"/>
      <c r="F29" s="54">
        <v>1.7516721267338493</v>
      </c>
      <c r="G29" s="76"/>
      <c r="H29" s="42">
        <f>C29*F29</f>
        <v>36.141425891683461</v>
      </c>
      <c r="I29" s="83">
        <f>IF(ISERROR(H29/B29),"n/a",H29/B29)</f>
        <v>0.52106803858476958</v>
      </c>
      <c r="J29" s="11"/>
    </row>
    <row r="30" spans="1:10" x14ac:dyDescent="0.6">
      <c r="A30" s="344" t="s">
        <v>102</v>
      </c>
      <c r="B30" s="105">
        <f>SUM(B28:B29)</f>
        <v>69.3602816051513</v>
      </c>
      <c r="C30" s="175">
        <f>SUM(C28:C29)</f>
        <v>20.632528964808277</v>
      </c>
      <c r="D30" s="83">
        <f>IF(ISERROR(C30/B30),"n/a",C30/B30)</f>
        <v>0.29746893304533417</v>
      </c>
      <c r="E30" s="41"/>
      <c r="F30" s="54"/>
      <c r="G30" s="48"/>
      <c r="H30" s="42">
        <f>SUM(H28:H29)</f>
        <v>36.141425891683461</v>
      </c>
      <c r="I30" s="83">
        <f>IF(ISERROR(H30/B30),"n/a",H30/B30)</f>
        <v>0.52106803858476958</v>
      </c>
      <c r="J30" s="11"/>
    </row>
    <row r="31" spans="1:10" ht="5.15" customHeight="1" x14ac:dyDescent="0.6">
      <c r="A31" s="82"/>
      <c r="B31" s="14"/>
      <c r="C31" s="196"/>
      <c r="D31" s="85"/>
      <c r="E31" s="45"/>
      <c r="F31" s="76"/>
      <c r="G31" s="76"/>
      <c r="H31" s="46"/>
      <c r="I31" s="85"/>
      <c r="J31" s="11"/>
    </row>
    <row r="32" spans="1:10" x14ac:dyDescent="0.6">
      <c r="A32" s="81" t="s">
        <v>279</v>
      </c>
      <c r="B32" s="14"/>
      <c r="C32" s="196"/>
      <c r="D32" s="92"/>
      <c r="E32" s="202"/>
      <c r="F32" s="203"/>
      <c r="G32" s="203"/>
      <c r="H32" s="196"/>
      <c r="I32" s="92"/>
      <c r="J32" s="11"/>
    </row>
    <row r="33" spans="1:10" x14ac:dyDescent="0.6">
      <c r="A33" s="344" t="s">
        <v>130</v>
      </c>
      <c r="B33" s="105">
        <v>0</v>
      </c>
      <c r="C33" s="196">
        <f>D33*B33</f>
        <v>0</v>
      </c>
      <c r="D33" s="83">
        <v>0</v>
      </c>
      <c r="E33" s="41"/>
      <c r="F33" s="54">
        <v>1.7516721267338493</v>
      </c>
      <c r="G33" s="203"/>
      <c r="H33" s="42">
        <f>C33*F33</f>
        <v>0</v>
      </c>
      <c r="I33" s="83" t="str">
        <f>IF(ISERROR(H33/B33),"n/a",H33/B33)</f>
        <v>n/a</v>
      </c>
      <c r="J33" s="11"/>
    </row>
    <row r="34" spans="1:10" x14ac:dyDescent="0.6">
      <c r="A34" s="343" t="s">
        <v>292</v>
      </c>
      <c r="B34" s="105">
        <v>2123.7089184476613</v>
      </c>
      <c r="C34" s="196">
        <f>D34*B34</f>
        <v>631.73742606948645</v>
      </c>
      <c r="D34" s="83">
        <v>0.29746893304533417</v>
      </c>
      <c r="E34" s="41"/>
      <c r="F34" s="54">
        <v>1.7516721267338493</v>
      </c>
      <c r="G34" s="203"/>
      <c r="H34" s="42">
        <f>C34*F34</f>
        <v>1106.5968406605052</v>
      </c>
      <c r="I34" s="83">
        <f>IF(ISERROR(H34/B34),"n/a",H34/B34)</f>
        <v>0.52106803858476958</v>
      </c>
      <c r="J34" s="11"/>
    </row>
    <row r="35" spans="1:10" x14ac:dyDescent="0.6">
      <c r="A35" s="344" t="s">
        <v>102</v>
      </c>
      <c r="B35" s="105">
        <f>SUM(B33:B34)</f>
        <v>2123.7089184476613</v>
      </c>
      <c r="C35" s="175">
        <f>SUM(C33:C34)</f>
        <v>631.73742606948645</v>
      </c>
      <c r="D35" s="83">
        <f>IF(ISERROR(C35/B35),"n/a",C35/B35)</f>
        <v>0.29746893304533417</v>
      </c>
      <c r="E35" s="41"/>
      <c r="F35" s="54"/>
      <c r="G35" s="48"/>
      <c r="H35" s="42">
        <f>SUM(H33:H34)</f>
        <v>1106.5968406605052</v>
      </c>
      <c r="I35" s="83">
        <f>H35/B35</f>
        <v>0.52106803858476958</v>
      </c>
      <c r="J35" s="11"/>
    </row>
    <row r="36" spans="1:10" x14ac:dyDescent="0.6">
      <c r="A36" s="82"/>
      <c r="B36" s="105"/>
      <c r="C36" s="196"/>
      <c r="D36" s="83"/>
      <c r="E36" s="41"/>
      <c r="F36" s="54"/>
      <c r="G36" s="203"/>
      <c r="H36" s="42"/>
      <c r="I36" s="83"/>
      <c r="J36" s="11"/>
    </row>
    <row r="37" spans="1:10" ht="15.5" x14ac:dyDescent="0.7">
      <c r="A37" s="158" t="s">
        <v>652</v>
      </c>
      <c r="J37" s="11"/>
    </row>
    <row r="38" spans="1:10" ht="15.5" x14ac:dyDescent="0.7">
      <c r="A38" s="158" t="s">
        <v>787</v>
      </c>
      <c r="J38" s="11"/>
    </row>
    <row r="39" spans="1:10" ht="26" x14ac:dyDescent="0.6">
      <c r="B39" s="168" t="s">
        <v>250</v>
      </c>
      <c r="C39" s="189" t="s">
        <v>249</v>
      </c>
      <c r="D39" s="8" t="s">
        <v>104</v>
      </c>
      <c r="E39" s="8"/>
      <c r="F39" s="199" t="s">
        <v>246</v>
      </c>
      <c r="G39" s="87"/>
      <c r="H39" s="160" t="s">
        <v>218</v>
      </c>
      <c r="I39" s="41" t="s">
        <v>133</v>
      </c>
      <c r="J39" s="11"/>
    </row>
    <row r="40" spans="1:10" x14ac:dyDescent="0.6">
      <c r="A40" s="15" t="s">
        <v>290</v>
      </c>
      <c r="B40" s="14"/>
      <c r="C40" s="196"/>
      <c r="D40" s="92"/>
      <c r="E40" s="202"/>
      <c r="F40" s="203"/>
      <c r="G40" s="203"/>
      <c r="H40" s="196"/>
      <c r="I40" s="92"/>
      <c r="J40" s="11"/>
    </row>
    <row r="41" spans="1:10" x14ac:dyDescent="0.6">
      <c r="A41" s="89" t="s">
        <v>170</v>
      </c>
      <c r="B41" s="48"/>
      <c r="C41" s="196"/>
      <c r="D41" s="92"/>
      <c r="E41" s="48"/>
      <c r="F41" s="48"/>
      <c r="G41" s="48"/>
      <c r="H41" s="196"/>
      <c r="I41" s="92"/>
      <c r="J41" s="11"/>
    </row>
    <row r="42" spans="1:10" x14ac:dyDescent="0.6">
      <c r="A42" s="81" t="s">
        <v>289</v>
      </c>
      <c r="B42" s="105"/>
      <c r="C42" s="196"/>
      <c r="D42" s="83"/>
      <c r="E42" s="41"/>
      <c r="F42" s="54"/>
      <c r="G42" s="75"/>
      <c r="H42" s="42"/>
      <c r="I42" s="83"/>
      <c r="J42" s="11"/>
    </row>
    <row r="43" spans="1:10" x14ac:dyDescent="0.6">
      <c r="A43" s="344" t="s">
        <v>130</v>
      </c>
      <c r="B43" s="105">
        <v>0</v>
      </c>
      <c r="C43" s="196">
        <v>0</v>
      </c>
      <c r="D43" s="83" t="str">
        <f>IF(ISERROR(C43/B43),"n/a",C43/B43)</f>
        <v>n/a</v>
      </c>
      <c r="E43" s="41"/>
      <c r="F43" s="54">
        <v>1.7516721267338493</v>
      </c>
      <c r="G43" s="48"/>
      <c r="H43" s="42">
        <f>C43*F43</f>
        <v>0</v>
      </c>
      <c r="I43" s="83" t="str">
        <f>IF(ISERROR(H43/B43),"n/a",H43/B43)</f>
        <v>n/a</v>
      </c>
      <c r="J43" s="11"/>
    </row>
    <row r="44" spans="1:10" x14ac:dyDescent="0.6">
      <c r="A44" s="343" t="s">
        <v>292</v>
      </c>
      <c r="B44" s="105">
        <v>0</v>
      </c>
      <c r="C44" s="196">
        <v>0</v>
      </c>
      <c r="D44" s="83" t="str">
        <f>IF(ISERROR(C44/B44),"n/a",C44/B44)</f>
        <v>n/a</v>
      </c>
      <c r="E44" s="41"/>
      <c r="F44" s="54">
        <v>1.7516721267338493</v>
      </c>
      <c r="G44" s="48"/>
      <c r="H44" s="42">
        <f>C44*F44</f>
        <v>0</v>
      </c>
      <c r="I44" s="83" t="str">
        <f>IF(ISERROR(H44/B44),"n/a",H44/B44)</f>
        <v>n/a</v>
      </c>
      <c r="J44" s="11"/>
    </row>
    <row r="45" spans="1:10" x14ac:dyDescent="0.6">
      <c r="A45" s="344" t="s">
        <v>102</v>
      </c>
      <c r="B45" s="105">
        <f>SUM(B43:B44)</f>
        <v>0</v>
      </c>
      <c r="C45" s="175">
        <f>SUM(C43:C44)</f>
        <v>0</v>
      </c>
      <c r="D45" s="83" t="str">
        <f>IF(ISERROR(C45/B45),"n/a",C45/B45)</f>
        <v>n/a</v>
      </c>
      <c r="E45" s="41"/>
      <c r="F45" s="54"/>
      <c r="G45" s="48"/>
      <c r="H45" s="42">
        <f>SUM(H43:H44)</f>
        <v>0</v>
      </c>
      <c r="I45" s="83" t="str">
        <f>IF(ISERROR(H45/B45),"n/a",H45/B45)</f>
        <v>n/a</v>
      </c>
      <c r="J45" s="11"/>
    </row>
    <row r="46" spans="1:10" ht="5.15" customHeight="1" x14ac:dyDescent="0.6">
      <c r="A46" s="111"/>
      <c r="B46" s="105"/>
      <c r="C46" s="175"/>
      <c r="D46" s="83"/>
      <c r="E46" s="41"/>
      <c r="F46" s="54"/>
      <c r="G46" s="48"/>
      <c r="H46" s="42"/>
      <c r="I46" s="83"/>
      <c r="J46" s="11"/>
    </row>
    <row r="47" spans="1:10" x14ac:dyDescent="0.6">
      <c r="A47" s="81" t="s">
        <v>168</v>
      </c>
      <c r="B47" s="105"/>
      <c r="C47" s="196"/>
      <c r="D47" s="83"/>
      <c r="E47" s="41"/>
      <c r="F47" s="54"/>
      <c r="G47" s="48"/>
      <c r="H47" s="42"/>
      <c r="I47" s="83"/>
      <c r="J47" s="11"/>
    </row>
    <row r="48" spans="1:10" x14ac:dyDescent="0.6">
      <c r="A48" s="344" t="s">
        <v>130</v>
      </c>
      <c r="B48" s="105">
        <v>0</v>
      </c>
      <c r="C48" s="196">
        <v>0</v>
      </c>
      <c r="D48" s="83" t="str">
        <f>IF(ISERROR(C48/B48),"n/a",C48/B48)</f>
        <v>n/a</v>
      </c>
      <c r="E48" s="41"/>
      <c r="F48" s="54">
        <v>1.7516721267338493</v>
      </c>
      <c r="G48" s="75"/>
      <c r="H48" s="42">
        <f>C48*F48</f>
        <v>0</v>
      </c>
      <c r="I48" s="83" t="str">
        <f>IF(ISERROR(H48/B48),"n/a",H48/B48)</f>
        <v>n/a</v>
      </c>
      <c r="J48" s="11"/>
    </row>
    <row r="49" spans="1:10" x14ac:dyDescent="0.6">
      <c r="A49" s="343" t="s">
        <v>292</v>
      </c>
      <c r="B49" s="105">
        <v>0</v>
      </c>
      <c r="C49" s="196">
        <v>0</v>
      </c>
      <c r="D49" s="83" t="str">
        <f>IF(ISERROR(C49/B49),"n/a",C49/B49)</f>
        <v>n/a</v>
      </c>
      <c r="E49" s="41"/>
      <c r="F49" s="54">
        <v>1.7516721267338493</v>
      </c>
      <c r="G49" s="75"/>
      <c r="H49" s="42">
        <f>C49*F49</f>
        <v>0</v>
      </c>
      <c r="I49" s="83" t="str">
        <f>IF(ISERROR(H49/B49),"n/a",H49/B49)</f>
        <v>n/a</v>
      </c>
      <c r="J49" s="11"/>
    </row>
    <row r="50" spans="1:10" x14ac:dyDescent="0.6">
      <c r="A50" s="344" t="s">
        <v>102</v>
      </c>
      <c r="B50" s="105">
        <f>SUM(B48:B49)</f>
        <v>0</v>
      </c>
      <c r="C50" s="175">
        <f>SUM(C48:C49)</f>
        <v>0</v>
      </c>
      <c r="D50" s="83" t="str">
        <f>IF(ISERROR(C50/B50),"n/a",C50/B50)</f>
        <v>n/a</v>
      </c>
      <c r="E50" s="41"/>
      <c r="F50" s="54"/>
      <c r="G50" s="48"/>
      <c r="H50" s="42">
        <f>SUM(H48:H49)</f>
        <v>0</v>
      </c>
      <c r="I50" s="83" t="str">
        <f>IF(ISERROR(H50/B50),"n/a",H50/B50)</f>
        <v>n/a</v>
      </c>
      <c r="J50" s="11"/>
    </row>
    <row r="51" spans="1:10" ht="5.15" customHeight="1" x14ac:dyDescent="0.6">
      <c r="A51" s="111"/>
      <c r="B51" s="105"/>
      <c r="C51" s="175"/>
      <c r="D51" s="83"/>
      <c r="E51" s="41"/>
      <c r="F51" s="54"/>
      <c r="G51" s="48"/>
      <c r="H51" s="42"/>
      <c r="I51" s="83"/>
      <c r="J51" s="11"/>
    </row>
    <row r="52" spans="1:10" x14ac:dyDescent="0.6">
      <c r="A52" s="89" t="s">
        <v>169</v>
      </c>
      <c r="B52" s="14"/>
      <c r="C52" s="196"/>
      <c r="D52" s="92"/>
      <c r="E52" s="202"/>
      <c r="F52" s="203"/>
      <c r="G52" s="203"/>
      <c r="H52" s="196"/>
      <c r="I52" s="92"/>
      <c r="J52" s="11"/>
    </row>
    <row r="53" spans="1:10" x14ac:dyDescent="0.6">
      <c r="A53" s="81" t="s">
        <v>289</v>
      </c>
      <c r="B53" s="14"/>
      <c r="C53" s="196"/>
      <c r="D53" s="92"/>
      <c r="E53" s="202"/>
      <c r="F53" s="203"/>
      <c r="G53" s="203"/>
      <c r="H53" s="196"/>
      <c r="I53" s="92"/>
      <c r="J53" s="11"/>
    </row>
    <row r="54" spans="1:10" x14ac:dyDescent="0.6">
      <c r="A54" s="344" t="s">
        <v>130</v>
      </c>
      <c r="B54" s="105">
        <v>0</v>
      </c>
      <c r="C54" s="196">
        <v>0</v>
      </c>
      <c r="D54" s="83" t="str">
        <f>IF(ISERROR(C54/B54),"n/a",C54/B54)</f>
        <v>n/a</v>
      </c>
      <c r="E54" s="41"/>
      <c r="F54" s="54">
        <v>1.7516721267338493</v>
      </c>
      <c r="G54" s="75"/>
      <c r="H54" s="42">
        <f>IF(B54=0,0,C54*F54)</f>
        <v>0</v>
      </c>
      <c r="I54" s="83" t="str">
        <f>IF(ISERROR(H54/B54),"n/a",H54/B54)</f>
        <v>n/a</v>
      </c>
      <c r="J54" s="11"/>
    </row>
    <row r="55" spans="1:10" x14ac:dyDescent="0.6">
      <c r="A55" s="343" t="s">
        <v>292</v>
      </c>
      <c r="B55" s="105">
        <v>0</v>
      </c>
      <c r="C55" s="196">
        <v>0</v>
      </c>
      <c r="D55" s="83" t="str">
        <f>IF(ISERROR(C55/B55),"n/a",C55/B55)</f>
        <v>n/a</v>
      </c>
      <c r="E55" s="41"/>
      <c r="F55" s="54">
        <v>1.7516721267338493</v>
      </c>
      <c r="G55" s="75"/>
      <c r="H55" s="42">
        <f>C55*F55</f>
        <v>0</v>
      </c>
      <c r="I55" s="83" t="str">
        <f>IF(ISERROR(H55/B55),"n/a",H55/B55)</f>
        <v>n/a</v>
      </c>
      <c r="J55" s="11"/>
    </row>
    <row r="56" spans="1:10" x14ac:dyDescent="0.6">
      <c r="A56" s="344" t="s">
        <v>102</v>
      </c>
      <c r="B56" s="105">
        <f>SUM(B54:B55)</f>
        <v>0</v>
      </c>
      <c r="C56" s="175">
        <f>SUM(C54:C55)</f>
        <v>0</v>
      </c>
      <c r="D56" s="83" t="str">
        <f>IF(ISERROR(C56/B56),"n/a",C56/B56)</f>
        <v>n/a</v>
      </c>
      <c r="E56" s="41"/>
      <c r="F56" s="54"/>
      <c r="G56" s="48"/>
      <c r="H56" s="42">
        <f>SUM(H54:H55)</f>
        <v>0</v>
      </c>
      <c r="I56" s="83" t="str">
        <f>IF(ISERROR(H56/B56),"n/a",H56/B56)</f>
        <v>n/a</v>
      </c>
      <c r="J56" s="11"/>
    </row>
    <row r="57" spans="1:10" ht="5.15" customHeight="1" x14ac:dyDescent="0.6">
      <c r="A57" s="111"/>
      <c r="B57" s="105"/>
      <c r="C57" s="175"/>
      <c r="D57" s="83"/>
      <c r="E57" s="41"/>
      <c r="F57" s="54"/>
      <c r="G57" s="48"/>
      <c r="H57" s="42"/>
      <c r="I57" s="83"/>
      <c r="J57" s="11"/>
    </row>
    <row r="58" spans="1:10" x14ac:dyDescent="0.6">
      <c r="A58" s="81" t="s">
        <v>168</v>
      </c>
      <c r="B58" s="14"/>
      <c r="C58" s="196"/>
      <c r="D58" s="85"/>
      <c r="E58" s="45"/>
      <c r="F58" s="76"/>
      <c r="G58" s="76"/>
      <c r="H58" s="46"/>
      <c r="I58" s="85"/>
      <c r="J58" s="11"/>
    </row>
    <row r="59" spans="1:10" x14ac:dyDescent="0.6">
      <c r="A59" s="344" t="s">
        <v>130</v>
      </c>
      <c r="B59" s="105">
        <v>0</v>
      </c>
      <c r="C59" s="196">
        <v>0</v>
      </c>
      <c r="D59" s="83" t="str">
        <f>IF(ISERROR(C59/B59),"n/a",C59/B59)</f>
        <v>n/a</v>
      </c>
      <c r="E59" s="41"/>
      <c r="F59" s="54">
        <v>1.7516721267338493</v>
      </c>
      <c r="G59" s="75"/>
      <c r="H59" s="42">
        <f>C59*F59</f>
        <v>0</v>
      </c>
      <c r="I59" s="83" t="str">
        <f>IF(ISERROR(H59/B59),"n/a",H59/B59)</f>
        <v>n/a</v>
      </c>
      <c r="J59" s="11"/>
    </row>
    <row r="60" spans="1:10" x14ac:dyDescent="0.6">
      <c r="A60" s="343" t="s">
        <v>292</v>
      </c>
      <c r="B60" s="105">
        <v>0</v>
      </c>
      <c r="C60" s="196">
        <v>0</v>
      </c>
      <c r="D60" s="83" t="str">
        <f>IF(ISERROR(C60/B60),"n/a",C60/B60)</f>
        <v>n/a</v>
      </c>
      <c r="E60" s="41"/>
      <c r="F60" s="54">
        <v>1.7516721267338493</v>
      </c>
      <c r="G60" s="75"/>
      <c r="H60" s="42">
        <f>C60*F60</f>
        <v>0</v>
      </c>
      <c r="I60" s="83" t="str">
        <f>IF(ISERROR(H60/B60),"n/a",H60/B60)</f>
        <v>n/a</v>
      </c>
      <c r="J60" s="11"/>
    </row>
    <row r="61" spans="1:10" x14ac:dyDescent="0.6">
      <c r="A61" s="344" t="s">
        <v>102</v>
      </c>
      <c r="B61" s="105">
        <f>SUM(B59:B60)</f>
        <v>0</v>
      </c>
      <c r="C61" s="175">
        <f>SUM(C59:C60)</f>
        <v>0</v>
      </c>
      <c r="D61" s="83" t="str">
        <f>IF(ISERROR(C61/B61),"n/a",C61/B61)</f>
        <v>n/a</v>
      </c>
      <c r="E61" s="41"/>
      <c r="F61" s="54"/>
      <c r="G61" s="48"/>
      <c r="H61" s="42">
        <f>SUM(H59:H60)</f>
        <v>0</v>
      </c>
      <c r="I61" s="83" t="str">
        <f>IF(ISERROR(H61/B61),"n/a",H61/B61)</f>
        <v>n/a</v>
      </c>
      <c r="J61" s="11"/>
    </row>
    <row r="62" spans="1:10" x14ac:dyDescent="0.6">
      <c r="A62" s="344"/>
      <c r="B62" s="105"/>
      <c r="C62" s="175"/>
      <c r="D62" s="83"/>
      <c r="E62" s="41"/>
      <c r="F62" s="54"/>
      <c r="G62" s="48"/>
      <c r="H62" s="42"/>
      <c r="I62" s="83"/>
      <c r="J62" s="11"/>
    </row>
    <row r="63" spans="1:10" ht="15.5" x14ac:dyDescent="0.7">
      <c r="A63" s="158" t="s">
        <v>653</v>
      </c>
      <c r="J63" s="11"/>
    </row>
    <row r="64" spans="1:10" ht="15.5" x14ac:dyDescent="0.7">
      <c r="A64" s="158" t="s">
        <v>787</v>
      </c>
      <c r="J64" s="11"/>
    </row>
    <row r="65" spans="1:10" ht="26" x14ac:dyDescent="0.6">
      <c r="B65" s="168" t="s">
        <v>250</v>
      </c>
      <c r="C65" s="189" t="s">
        <v>249</v>
      </c>
      <c r="D65" s="8" t="s">
        <v>104</v>
      </c>
      <c r="E65" s="8"/>
      <c r="F65" s="199" t="s">
        <v>246</v>
      </c>
      <c r="G65" s="87"/>
      <c r="H65" s="160" t="s">
        <v>218</v>
      </c>
      <c r="I65" s="41" t="s">
        <v>133</v>
      </c>
      <c r="J65" s="11"/>
    </row>
    <row r="66" spans="1:10" x14ac:dyDescent="0.6">
      <c r="A66" s="15" t="s">
        <v>783</v>
      </c>
      <c r="B66" s="168"/>
      <c r="C66" s="189"/>
      <c r="D66" s="8"/>
      <c r="E66" s="8"/>
      <c r="F66" s="199"/>
      <c r="G66" s="87"/>
      <c r="H66" s="160"/>
      <c r="I66" s="41"/>
      <c r="J66" s="11"/>
    </row>
    <row r="67" spans="1:10" x14ac:dyDescent="0.6">
      <c r="A67" s="89" t="s">
        <v>174</v>
      </c>
      <c r="B67" s="105"/>
      <c r="C67" s="175"/>
      <c r="D67" s="83"/>
      <c r="E67" s="41"/>
      <c r="F67" s="54"/>
      <c r="G67" s="48"/>
      <c r="H67" s="42"/>
      <c r="I67" s="83"/>
      <c r="J67" s="11"/>
    </row>
    <row r="68" spans="1:10" x14ac:dyDescent="0.6">
      <c r="A68" s="82" t="s">
        <v>274</v>
      </c>
      <c r="B68" s="105"/>
      <c r="C68" s="175"/>
      <c r="D68" s="83"/>
      <c r="E68" s="41"/>
      <c r="F68" s="54"/>
      <c r="G68" s="48"/>
      <c r="H68" s="42"/>
      <c r="I68" s="83"/>
      <c r="J68" s="11"/>
    </row>
    <row r="69" spans="1:10" x14ac:dyDescent="0.6">
      <c r="A69" s="344" t="s">
        <v>130</v>
      </c>
      <c r="B69" s="105">
        <v>0</v>
      </c>
      <c r="C69" s="196">
        <v>0</v>
      </c>
      <c r="D69" s="83" t="str">
        <f>IF(ISERROR(C69/B69),"n/a",C69/B69)</f>
        <v>n/a</v>
      </c>
      <c r="E69" s="41"/>
      <c r="F69" s="54">
        <v>1.7516721267338493</v>
      </c>
      <c r="G69" s="48"/>
      <c r="H69" s="42">
        <f>C69*F69</f>
        <v>0</v>
      </c>
      <c r="I69" s="83" t="str">
        <f>IF(ISERROR(H69/B69),"n/a",H69/B69)</f>
        <v>n/a</v>
      </c>
      <c r="J69" s="11"/>
    </row>
    <row r="70" spans="1:10" x14ac:dyDescent="0.6">
      <c r="A70" s="343" t="s">
        <v>292</v>
      </c>
      <c r="B70" s="105">
        <v>1360.2812687821065</v>
      </c>
      <c r="C70" s="196">
        <v>17.723112001128129</v>
      </c>
      <c r="D70" s="83">
        <f>IF(ISERROR(C70/B70),"n/a",C70/B70)</f>
        <v>1.3029005403416361E-2</v>
      </c>
      <c r="E70" s="41"/>
      <c r="F70" s="54">
        <v>1.7516721267338493</v>
      </c>
      <c r="G70" s="48"/>
      <c r="H70" s="42">
        <f>C70*F70</f>
        <v>31.045081291358319</v>
      </c>
      <c r="I70" s="83">
        <f>IF(ISERROR(H70/B70),"n/a",H70/B70)</f>
        <v>2.2822545604229152E-2</v>
      </c>
      <c r="J70" s="11"/>
    </row>
    <row r="71" spans="1:10" x14ac:dyDescent="0.6">
      <c r="A71" s="344" t="s">
        <v>102</v>
      </c>
      <c r="B71" s="105">
        <f>SUM(B69:B70)</f>
        <v>1360.2812687821065</v>
      </c>
      <c r="C71" s="196">
        <f>SUM(C69:C70)</f>
        <v>17.723112001128129</v>
      </c>
      <c r="D71" s="83">
        <f>IF(ISERROR(C71/B71),"n/a",C71/B71)</f>
        <v>1.3029005403416361E-2</v>
      </c>
      <c r="E71" s="41"/>
      <c r="F71" s="54"/>
      <c r="G71" s="48"/>
      <c r="H71" s="42">
        <f>SUM(H69:H70)</f>
        <v>31.045081291358319</v>
      </c>
      <c r="I71" s="83">
        <f>H71/B71</f>
        <v>2.2822545604229152E-2</v>
      </c>
      <c r="J71" s="11"/>
    </row>
    <row r="72" spans="1:10" ht="5.15" customHeight="1" x14ac:dyDescent="0.6">
      <c r="A72" s="111"/>
      <c r="B72" s="105"/>
      <c r="C72" s="175"/>
      <c r="D72" s="83"/>
      <c r="E72" s="41"/>
      <c r="F72" s="54"/>
      <c r="G72" s="48"/>
      <c r="H72" s="42"/>
      <c r="I72" s="83"/>
      <c r="J72" s="11"/>
    </row>
    <row r="73" spans="1:10" x14ac:dyDescent="0.6">
      <c r="A73" s="81" t="s">
        <v>279</v>
      </c>
      <c r="B73" s="105"/>
      <c r="C73" s="175"/>
      <c r="D73" s="83"/>
      <c r="E73" s="41"/>
      <c r="F73" s="54"/>
      <c r="G73" s="48"/>
      <c r="H73" s="42"/>
      <c r="I73" s="83"/>
      <c r="J73" s="11"/>
    </row>
    <row r="74" spans="1:10" x14ac:dyDescent="0.6">
      <c r="A74" s="344" t="s">
        <v>130</v>
      </c>
      <c r="B74" s="105">
        <v>0</v>
      </c>
      <c r="C74" s="196">
        <v>0</v>
      </c>
      <c r="D74" s="83" t="str">
        <f>IF(ISERROR(C74/B74),"n/a",C74/B74)</f>
        <v>n/a</v>
      </c>
      <c r="E74" s="41"/>
      <c r="F74" s="54">
        <v>1.7516721267338493</v>
      </c>
      <c r="G74" s="48"/>
      <c r="H74" s="42">
        <f>C74*F74</f>
        <v>0</v>
      </c>
      <c r="I74" s="83" t="str">
        <f>IF(ISERROR(H74/B74),"n/a",H74/B74)</f>
        <v>n/a</v>
      </c>
      <c r="J74" s="11"/>
    </row>
    <row r="75" spans="1:10" x14ac:dyDescent="0.6">
      <c r="A75" s="343" t="s">
        <v>292</v>
      </c>
      <c r="B75" s="105">
        <v>4177.953708835119</v>
      </c>
      <c r="C75" s="196">
        <v>54.434581447636447</v>
      </c>
      <c r="D75" s="83">
        <f>IF(ISERROR(C75/B75),"n/a",C75/B75)</f>
        <v>1.3029005403416422E-2</v>
      </c>
      <c r="E75" s="41"/>
      <c r="F75" s="54">
        <v>1.7516721267338493</v>
      </c>
      <c r="G75" s="48"/>
      <c r="H75" s="42">
        <f>C75*F75</f>
        <v>95.35153905224827</v>
      </c>
      <c r="I75" s="83">
        <f>IF(ISERROR(H75/B75),"n/a",H75/B75)</f>
        <v>2.2822545604229257E-2</v>
      </c>
      <c r="J75" s="11"/>
    </row>
    <row r="76" spans="1:10" x14ac:dyDescent="0.6">
      <c r="A76" s="344" t="s">
        <v>102</v>
      </c>
      <c r="B76" s="105">
        <f>SUM(B74:B75)</f>
        <v>4177.953708835119</v>
      </c>
      <c r="C76" s="196">
        <f>SUM(C74:C75)</f>
        <v>54.434581447636447</v>
      </c>
      <c r="D76" s="83">
        <f>IF(ISERROR(C76/B76),"n/a",C76/B76)</f>
        <v>1.3029005403416422E-2</v>
      </c>
      <c r="E76" s="41"/>
      <c r="F76" s="54"/>
      <c r="G76" s="48"/>
      <c r="H76" s="42">
        <f>SUM(H74:H75)</f>
        <v>95.35153905224827</v>
      </c>
      <c r="I76" s="83">
        <f>H76/B76</f>
        <v>2.2822545604229257E-2</v>
      </c>
      <c r="J76" s="11"/>
    </row>
    <row r="77" spans="1:10" ht="5.15" customHeight="1" x14ac:dyDescent="0.6">
      <c r="A77" s="344"/>
      <c r="B77" s="105"/>
      <c r="C77" s="175"/>
      <c r="D77" s="83"/>
      <c r="E77" s="41"/>
      <c r="F77" s="54"/>
      <c r="G77" s="48"/>
      <c r="H77" s="42"/>
      <c r="I77" s="83"/>
      <c r="J77" s="11"/>
    </row>
    <row r="78" spans="1:10" x14ac:dyDescent="0.6">
      <c r="A78" s="21" t="s">
        <v>308</v>
      </c>
      <c r="B78" s="105"/>
      <c r="C78" s="175"/>
      <c r="D78" s="83"/>
      <c r="E78" s="41"/>
      <c r="F78" s="54"/>
      <c r="G78" s="48"/>
      <c r="H78" s="42"/>
      <c r="I78" s="83"/>
      <c r="J78" s="11"/>
    </row>
    <row r="79" spans="1:10" x14ac:dyDescent="0.6">
      <c r="A79" s="82" t="s">
        <v>274</v>
      </c>
      <c r="B79" s="105"/>
      <c r="C79" s="175"/>
      <c r="D79" s="83"/>
      <c r="E79" s="41"/>
      <c r="F79" s="54"/>
      <c r="G79" s="48"/>
      <c r="H79" s="42"/>
      <c r="I79" s="83"/>
      <c r="J79" s="11"/>
    </row>
    <row r="80" spans="1:10" x14ac:dyDescent="0.6">
      <c r="A80" s="344" t="s">
        <v>130</v>
      </c>
      <c r="B80" s="105">
        <v>0</v>
      </c>
      <c r="C80" s="175">
        <v>0</v>
      </c>
      <c r="D80" s="83" t="str">
        <f>IF(ISERROR(C80/B80),"n/a",C80/B80)</f>
        <v>n/a</v>
      </c>
      <c r="E80" s="41"/>
      <c r="F80" s="54">
        <v>1.7516721267338493</v>
      </c>
      <c r="G80" s="48"/>
      <c r="H80" s="42">
        <f>C80*F80</f>
        <v>0</v>
      </c>
      <c r="I80" s="83" t="str">
        <f>IF(ISERROR(H80/B80),"n/a",H80/B80)</f>
        <v>n/a</v>
      </c>
      <c r="J80" s="11"/>
    </row>
    <row r="81" spans="1:10" x14ac:dyDescent="0.6">
      <c r="A81" s="343" t="s">
        <v>292</v>
      </c>
      <c r="B81" s="105">
        <v>1360.2812687821065</v>
      </c>
      <c r="C81" s="175">
        <v>324.79537118213142</v>
      </c>
      <c r="D81" s="83">
        <f>IF(ISERROR(C81/B81),"n/a",C81/B81)</f>
        <v>0.23877074443061969</v>
      </c>
      <c r="E81" s="41"/>
      <c r="F81" s="54">
        <v>1.7516721267338493</v>
      </c>
      <c r="G81" s="48"/>
      <c r="H81" s="42">
        <f>C81*F81</f>
        <v>568.93499859191411</v>
      </c>
      <c r="I81" s="83">
        <f>IF(ISERROR(H81/B81),"n/a",H81/B81)</f>
        <v>0.41824805769860796</v>
      </c>
      <c r="J81" s="11"/>
    </row>
    <row r="82" spans="1:10" x14ac:dyDescent="0.6">
      <c r="A82" s="344" t="s">
        <v>102</v>
      </c>
      <c r="B82" s="105">
        <f>SUM(B80:B81)</f>
        <v>1360.2812687821065</v>
      </c>
      <c r="C82" s="196">
        <f>SUM(C80:C81)</f>
        <v>324.79537118213142</v>
      </c>
      <c r="D82" s="83">
        <f>IF(ISERROR(C82/B82),"n/a",C82/B82)</f>
        <v>0.23877074443061969</v>
      </c>
      <c r="E82" s="41"/>
      <c r="F82" s="54"/>
      <c r="G82" s="48"/>
      <c r="H82" s="42">
        <f>SUM(H80:H81)</f>
        <v>568.93499859191411</v>
      </c>
      <c r="I82" s="83">
        <f>H82/B82</f>
        <v>0.41824805769860796</v>
      </c>
      <c r="J82" s="11"/>
    </row>
    <row r="83" spans="1:10" ht="5.15" customHeight="1" x14ac:dyDescent="0.6">
      <c r="A83" s="111"/>
      <c r="B83" s="105"/>
      <c r="C83" s="175"/>
      <c r="D83" s="83"/>
      <c r="E83" s="41"/>
      <c r="F83" s="54"/>
      <c r="G83" s="48"/>
      <c r="H83" s="42"/>
      <c r="I83" s="83"/>
      <c r="J83" s="11"/>
    </row>
    <row r="84" spans="1:10" x14ac:dyDescent="0.6">
      <c r="A84" s="81" t="s">
        <v>279</v>
      </c>
      <c r="B84" s="105"/>
      <c r="C84" s="175"/>
      <c r="D84" s="83"/>
      <c r="E84" s="41"/>
      <c r="F84" s="54"/>
      <c r="G84" s="48"/>
      <c r="H84" s="42"/>
      <c r="I84" s="83"/>
      <c r="J84" s="11"/>
    </row>
    <row r="85" spans="1:10" x14ac:dyDescent="0.6">
      <c r="A85" s="344" t="s">
        <v>130</v>
      </c>
      <c r="B85" s="105">
        <v>0</v>
      </c>
      <c r="C85" s="175">
        <v>0</v>
      </c>
      <c r="D85" s="83" t="str">
        <f>IF(ISERROR(C85/B85),"n/a",C85/B85)</f>
        <v>n/a</v>
      </c>
      <c r="E85" s="41"/>
      <c r="F85" s="54">
        <v>1.7516721267338493</v>
      </c>
      <c r="G85" s="48"/>
      <c r="H85" s="42">
        <f>C85*F85</f>
        <v>0</v>
      </c>
      <c r="I85" s="83" t="str">
        <f>IF(ISERROR(H85/B85),"n/a",H85/B85)</f>
        <v>n/a</v>
      </c>
      <c r="J85" s="11"/>
    </row>
    <row r="86" spans="1:10" x14ac:dyDescent="0.6">
      <c r="A86" s="343" t="s">
        <v>292</v>
      </c>
      <c r="B86" s="105">
        <v>4177.953708835119</v>
      </c>
      <c r="C86" s="175">
        <v>997.57311725522982</v>
      </c>
      <c r="D86" s="83">
        <f>IF(ISERROR(C86/B86),"n/a",C86/B86)</f>
        <v>0.23877074443061969</v>
      </c>
      <c r="E86" s="41"/>
      <c r="F86" s="54">
        <v>1.7516721267338493</v>
      </c>
      <c r="G86" s="48"/>
      <c r="H86" s="42">
        <f>C86*F86</f>
        <v>1747.421023874984</v>
      </c>
      <c r="I86" s="83">
        <f>IF(ISERROR(H86/B86),"n/a",H86/B86)</f>
        <v>0.41824805769860796</v>
      </c>
      <c r="J86" s="11"/>
    </row>
    <row r="87" spans="1:10" x14ac:dyDescent="0.6">
      <c r="A87" s="344" t="s">
        <v>102</v>
      </c>
      <c r="B87" s="105">
        <f>SUM(B85:B86)</f>
        <v>4177.953708835119</v>
      </c>
      <c r="C87" s="196">
        <f>SUM(C85:C86)</f>
        <v>997.57311725522982</v>
      </c>
      <c r="D87" s="83">
        <f>IF(ISERROR(C87/B87),"n/a",C87/B87)</f>
        <v>0.23877074443061969</v>
      </c>
      <c r="E87" s="41"/>
      <c r="F87" s="54"/>
      <c r="G87" s="48"/>
      <c r="H87" s="42">
        <f>SUM(H85:H86)</f>
        <v>1747.421023874984</v>
      </c>
      <c r="I87" s="83">
        <f>H87/B87</f>
        <v>0.41824805769860796</v>
      </c>
      <c r="J87" s="11"/>
    </row>
    <row r="88" spans="1:10" hidden="1" x14ac:dyDescent="0.6">
      <c r="A88" s="343"/>
      <c r="B88" s="105"/>
      <c r="C88" s="196"/>
      <c r="D88" s="83"/>
      <c r="E88" s="41"/>
      <c r="F88" s="54"/>
      <c r="G88" s="48"/>
      <c r="H88" s="42"/>
      <c r="I88" s="83"/>
      <c r="J88" s="11"/>
    </row>
    <row r="89" spans="1:10" hidden="1" x14ac:dyDescent="0.6">
      <c r="A89" s="344"/>
      <c r="B89" s="105"/>
      <c r="C89" s="196"/>
      <c r="D89" s="83"/>
      <c r="E89" s="41"/>
      <c r="F89" s="54"/>
      <c r="G89" s="48"/>
      <c r="H89" s="42"/>
      <c r="I89" s="83"/>
      <c r="J89" s="11"/>
    </row>
    <row r="90" spans="1:10" hidden="1" x14ac:dyDescent="0.6">
      <c r="A90" s="27"/>
      <c r="B90" s="547" t="s">
        <v>193</v>
      </c>
      <c r="C90" s="32">
        <f>SUM(C7,C12,C17,C23,C28,C33,C43,C48,C54,C59)</f>
        <v>0</v>
      </c>
      <c r="D90" s="31">
        <v>0</v>
      </c>
      <c r="E90" s="132"/>
      <c r="F90" s="128">
        <f>C90-D90</f>
        <v>0</v>
      </c>
      <c r="G90" s="78"/>
      <c r="H90" s="64"/>
      <c r="I90" s="64"/>
      <c r="J90" s="11"/>
    </row>
    <row r="91" spans="1:10" hidden="1" x14ac:dyDescent="0.6">
      <c r="A91" s="140"/>
      <c r="B91" s="547" t="s">
        <v>194</v>
      </c>
      <c r="C91" s="32">
        <f>SUM(C8,C13,C18,C24,C29,C34,C44,C49,C55,C60)</f>
        <v>8878.3866426113927</v>
      </c>
      <c r="D91" s="31">
        <v>8878.3866426113909</v>
      </c>
      <c r="E91" s="130"/>
      <c r="F91" s="128">
        <f>C91-D91</f>
        <v>0</v>
      </c>
      <c r="G91" s="78"/>
      <c r="H91" s="64"/>
      <c r="I91" s="64"/>
      <c r="J91" s="11"/>
    </row>
    <row r="92" spans="1:10" hidden="1" x14ac:dyDescent="0.6">
      <c r="A92" s="140"/>
      <c r="B92" s="547" t="s">
        <v>195</v>
      </c>
      <c r="C92" s="32">
        <f>SUM(C90:C91)</f>
        <v>8878.3866426113927</v>
      </c>
      <c r="D92" s="32">
        <f>SUM(D90:D91)</f>
        <v>8878.3866426113909</v>
      </c>
      <c r="E92" s="137"/>
      <c r="F92" s="128">
        <f>C92-D92</f>
        <v>0</v>
      </c>
      <c r="G92" s="78"/>
      <c r="H92" s="64"/>
      <c r="I92" s="64"/>
      <c r="J92" s="11"/>
    </row>
    <row r="93" spans="1:10" hidden="1" x14ac:dyDescent="0.6">
      <c r="A93" s="140"/>
      <c r="B93" s="548" t="s">
        <v>196</v>
      </c>
      <c r="C93" s="31">
        <f>C43+C48+C54+C59</f>
        <v>0</v>
      </c>
      <c r="D93" s="31">
        <v>0</v>
      </c>
      <c r="E93" s="130"/>
      <c r="F93" s="128">
        <f>C93-D93</f>
        <v>0</v>
      </c>
      <c r="G93" s="78"/>
      <c r="H93" s="64"/>
      <c r="I93" s="64"/>
      <c r="J93" s="11"/>
    </row>
    <row r="94" spans="1:10" hidden="1" x14ac:dyDescent="0.6">
      <c r="A94" s="140"/>
      <c r="B94" s="548" t="s">
        <v>197</v>
      </c>
      <c r="C94" s="31">
        <f>C44+C49+C55+C60</f>
        <v>0</v>
      </c>
      <c r="D94" s="31">
        <v>0</v>
      </c>
      <c r="E94" s="130"/>
      <c r="F94" s="128">
        <f>C94-D94</f>
        <v>0</v>
      </c>
      <c r="G94" s="78"/>
      <c r="H94" s="64"/>
      <c r="I94" s="64"/>
      <c r="J94" s="11"/>
    </row>
    <row r="95" spans="1:10" hidden="1" x14ac:dyDescent="0.6">
      <c r="A95" s="11"/>
      <c r="C95" s="64"/>
      <c r="D95" s="64"/>
      <c r="E95" s="64"/>
      <c r="F95" s="78"/>
      <c r="G95" s="78"/>
      <c r="H95" s="64"/>
      <c r="I95" s="64"/>
      <c r="J95" s="11"/>
    </row>
    <row r="96" spans="1:10" hidden="1" x14ac:dyDescent="0.6">
      <c r="A96" s="11"/>
      <c r="C96" s="64"/>
      <c r="D96" s="64"/>
      <c r="E96" s="64"/>
      <c r="F96" s="78"/>
      <c r="G96" s="78"/>
      <c r="H96" s="64"/>
      <c r="I96" s="64"/>
      <c r="J96" s="11"/>
    </row>
    <row r="97" spans="1:10" hidden="1" x14ac:dyDescent="0.6">
      <c r="A97" s="347" t="s">
        <v>198</v>
      </c>
      <c r="B97" s="133">
        <v>0</v>
      </c>
      <c r="C97" s="136" t="s">
        <v>199</v>
      </c>
      <c r="D97" s="64"/>
      <c r="E97" s="64"/>
      <c r="F97" s="78"/>
      <c r="G97" s="78"/>
      <c r="H97" s="64"/>
      <c r="I97" s="64"/>
      <c r="J97" s="11"/>
    </row>
    <row r="98" spans="1:10" hidden="1" x14ac:dyDescent="0.6">
      <c r="A98" s="347" t="s">
        <v>200</v>
      </c>
      <c r="B98" s="133">
        <v>0</v>
      </c>
      <c r="C98" s="64" t="s">
        <v>201</v>
      </c>
      <c r="D98" s="64"/>
      <c r="E98" s="64"/>
      <c r="F98" s="78"/>
      <c r="G98" s="78"/>
      <c r="H98" s="64"/>
      <c r="I98" s="64"/>
      <c r="J98" s="11"/>
    </row>
    <row r="99" spans="1:10" hidden="1" x14ac:dyDescent="0.6">
      <c r="A99" s="347" t="s">
        <v>202</v>
      </c>
      <c r="B99" s="133">
        <v>0</v>
      </c>
      <c r="C99" s="64"/>
      <c r="D99" s="64"/>
      <c r="E99" s="64"/>
      <c r="F99" s="78"/>
      <c r="G99" s="78"/>
      <c r="H99" s="64"/>
      <c r="I99" s="64"/>
      <c r="J99" s="11"/>
    </row>
    <row r="100" spans="1:10" hidden="1" x14ac:dyDescent="0.6">
      <c r="A100" s="347" t="s">
        <v>203</v>
      </c>
      <c r="B100" s="133">
        <v>0</v>
      </c>
      <c r="C100" s="136" t="s">
        <v>204</v>
      </c>
      <c r="D100" s="64"/>
      <c r="E100" s="64"/>
      <c r="F100" s="78"/>
      <c r="G100" s="78"/>
      <c r="H100" s="64"/>
      <c r="I100" s="64"/>
      <c r="J100" s="11"/>
    </row>
    <row r="101" spans="1:10" hidden="1" x14ac:dyDescent="0.6">
      <c r="A101" s="347" t="s">
        <v>205</v>
      </c>
      <c r="B101" s="133">
        <v>0</v>
      </c>
      <c r="C101" s="64"/>
      <c r="D101" s="64"/>
      <c r="E101" s="64"/>
      <c r="F101" s="78"/>
      <c r="G101" s="78"/>
      <c r="H101" s="64"/>
      <c r="I101" s="64"/>
      <c r="J101" s="11"/>
    </row>
    <row r="102" spans="1:10" hidden="1" x14ac:dyDescent="0.6">
      <c r="A102" s="11"/>
      <c r="C102" s="64"/>
      <c r="D102" s="64"/>
      <c r="E102" s="64"/>
      <c r="F102" s="78"/>
      <c r="G102" s="78"/>
      <c r="H102" s="64"/>
      <c r="I102" s="64"/>
      <c r="J102" s="11"/>
    </row>
    <row r="103" spans="1:10" hidden="1" x14ac:dyDescent="0.6">
      <c r="A103" s="140"/>
      <c r="B103" s="548" t="s">
        <v>231</v>
      </c>
      <c r="C103" s="32">
        <f>C23+C28+C33</f>
        <v>0</v>
      </c>
      <c r="D103" s="32">
        <v>0</v>
      </c>
      <c r="E103" s="64"/>
      <c r="F103" s="128">
        <f>C103-D103</f>
        <v>0</v>
      </c>
      <c r="G103" s="78"/>
      <c r="H103" s="242"/>
      <c r="I103" s="64"/>
      <c r="J103" s="11"/>
    </row>
    <row r="104" spans="1:10" hidden="1" x14ac:dyDescent="0.6">
      <c r="A104" s="140"/>
      <c r="B104" s="548" t="s">
        <v>232</v>
      </c>
      <c r="C104" s="32">
        <f>C24+C29+C34</f>
        <v>1109.583221192052</v>
      </c>
      <c r="D104" s="32">
        <v>1109.583221192052</v>
      </c>
      <c r="E104" s="64"/>
      <c r="F104" s="128">
        <f>C104-D104</f>
        <v>0</v>
      </c>
      <c r="G104" s="78"/>
      <c r="H104" s="242"/>
      <c r="I104" s="64"/>
      <c r="J104" s="11"/>
    </row>
    <row r="105" spans="1:10" hidden="1" x14ac:dyDescent="0.6">
      <c r="A105" s="140"/>
      <c r="B105" s="548"/>
      <c r="C105" s="32"/>
      <c r="D105" s="32"/>
      <c r="E105" s="64"/>
      <c r="F105" s="128"/>
      <c r="G105" s="78"/>
      <c r="H105" s="242"/>
      <c r="I105" s="64"/>
      <c r="J105" s="11"/>
    </row>
    <row r="106" spans="1:10" hidden="1" x14ac:dyDescent="0.6">
      <c r="A106" s="140"/>
      <c r="B106" s="347" t="s">
        <v>293</v>
      </c>
      <c r="C106" s="32">
        <f>C69+C80</f>
        <v>0</v>
      </c>
      <c r="D106" s="32">
        <v>0</v>
      </c>
      <c r="E106" s="64"/>
      <c r="F106" s="128">
        <f>C106-D106</f>
        <v>0</v>
      </c>
      <c r="G106" s="78"/>
      <c r="H106" s="242"/>
      <c r="I106" s="64"/>
      <c r="J106" s="11"/>
    </row>
    <row r="107" spans="1:10" hidden="1" x14ac:dyDescent="0.6">
      <c r="A107" s="140"/>
      <c r="B107" s="347" t="s">
        <v>294</v>
      </c>
      <c r="C107" s="32">
        <f>C70+C81</f>
        <v>342.51848318325955</v>
      </c>
      <c r="D107" s="32">
        <v>342.51848318325955</v>
      </c>
      <c r="E107" s="64"/>
      <c r="F107" s="128">
        <f>C107-D107</f>
        <v>0</v>
      </c>
      <c r="G107" s="78"/>
      <c r="H107" s="242"/>
      <c r="I107" s="64"/>
      <c r="J107" s="11"/>
    </row>
    <row r="108" spans="1:10" hidden="1" x14ac:dyDescent="0.6">
      <c r="A108" s="140"/>
      <c r="B108" s="347" t="s">
        <v>295</v>
      </c>
      <c r="C108" s="32">
        <f>C74+C85</f>
        <v>0</v>
      </c>
      <c r="D108" s="32">
        <v>0</v>
      </c>
      <c r="E108" s="64"/>
      <c r="F108" s="128">
        <f>C108-D108</f>
        <v>0</v>
      </c>
      <c r="G108" s="78"/>
      <c r="H108" s="242"/>
      <c r="I108" s="64"/>
      <c r="J108" s="11"/>
    </row>
    <row r="109" spans="1:10" hidden="1" x14ac:dyDescent="0.6">
      <c r="A109" s="140"/>
      <c r="B109" s="347" t="s">
        <v>296</v>
      </c>
      <c r="C109" s="32">
        <f>C75+C86</f>
        <v>1052.0076987028663</v>
      </c>
      <c r="D109" s="32">
        <v>1052.0076987028663</v>
      </c>
      <c r="E109" s="64"/>
      <c r="F109" s="128">
        <f>C109-D109</f>
        <v>0</v>
      </c>
      <c r="G109" s="78"/>
      <c r="H109" s="242"/>
      <c r="I109" s="64"/>
      <c r="J109" s="11"/>
    </row>
    <row r="110" spans="1:10" hidden="1" x14ac:dyDescent="0.6">
      <c r="A110" s="140"/>
      <c r="B110" s="347"/>
      <c r="C110" s="32"/>
      <c r="D110" s="32"/>
      <c r="E110" s="348"/>
      <c r="F110" s="349"/>
      <c r="G110" s="78"/>
      <c r="H110" s="242"/>
      <c r="I110" s="64"/>
      <c r="J110" s="11"/>
    </row>
    <row r="111" spans="1:10" hidden="1" x14ac:dyDescent="0.6">
      <c r="A111" s="145" t="s">
        <v>297</v>
      </c>
      <c r="B111" s="133">
        <v>0</v>
      </c>
      <c r="C111" s="32"/>
      <c r="D111" s="32"/>
      <c r="E111" s="64"/>
      <c r="F111" s="349"/>
      <c r="G111" s="78"/>
      <c r="H111" s="242"/>
      <c r="I111" s="64"/>
      <c r="J111" s="11"/>
    </row>
    <row r="112" spans="1:10" hidden="1" x14ac:dyDescent="0.6">
      <c r="A112" s="145" t="s">
        <v>298</v>
      </c>
      <c r="B112" s="133">
        <v>0</v>
      </c>
      <c r="C112" s="32"/>
      <c r="D112" s="32"/>
      <c r="E112" s="64"/>
      <c r="F112" s="349"/>
      <c r="G112" s="78"/>
      <c r="H112" s="242"/>
      <c r="I112" s="64"/>
      <c r="J112" s="11"/>
    </row>
    <row r="113" spans="1:10" hidden="1" x14ac:dyDescent="0.6">
      <c r="A113" s="145" t="s">
        <v>299</v>
      </c>
      <c r="B113" s="133">
        <v>0</v>
      </c>
      <c r="C113" s="32"/>
      <c r="D113" s="32"/>
      <c r="E113" s="64"/>
      <c r="F113" s="349"/>
      <c r="G113" s="78"/>
      <c r="H113" s="242"/>
      <c r="I113" s="64"/>
      <c r="J113" s="11"/>
    </row>
    <row r="114" spans="1:10" hidden="1" x14ac:dyDescent="0.6">
      <c r="A114" s="145" t="s">
        <v>300</v>
      </c>
      <c r="B114" s="133">
        <v>0</v>
      </c>
      <c r="C114" s="32"/>
      <c r="D114" s="32"/>
      <c r="E114" s="64"/>
      <c r="F114" s="349"/>
      <c r="G114" s="78"/>
      <c r="H114" s="242"/>
      <c r="I114" s="64"/>
      <c r="J114" s="11"/>
    </row>
    <row r="115" spans="1:10" x14ac:dyDescent="0.6">
      <c r="A115" s="141"/>
      <c r="B115" s="283"/>
      <c r="C115" s="293"/>
      <c r="D115" s="293"/>
      <c r="E115" s="293"/>
      <c r="F115" s="78"/>
      <c r="G115" s="78"/>
      <c r="H115" s="64"/>
      <c r="I115" s="64"/>
      <c r="J115" s="11"/>
    </row>
    <row r="116" spans="1:10" x14ac:dyDescent="0.6">
      <c r="A116" s="11" t="s">
        <v>235</v>
      </c>
      <c r="C116" s="64"/>
      <c r="D116" s="64"/>
      <c r="E116" s="64"/>
      <c r="F116" s="78"/>
      <c r="G116" s="78"/>
      <c r="H116" s="64"/>
      <c r="I116" s="64"/>
      <c r="J116" s="11"/>
    </row>
    <row r="117" spans="1:10" x14ac:dyDescent="0.6">
      <c r="A117" s="25" t="s">
        <v>803</v>
      </c>
      <c r="C117" s="64"/>
      <c r="D117" s="64"/>
      <c r="E117" s="64"/>
      <c r="F117" s="78"/>
      <c r="G117" s="78"/>
      <c r="H117" s="64"/>
      <c r="I117" s="64"/>
      <c r="J117" s="11"/>
    </row>
    <row r="118" spans="1:10" x14ac:dyDescent="0.6">
      <c r="A118" s="25" t="s">
        <v>795</v>
      </c>
      <c r="C118" s="64"/>
      <c r="D118" s="64"/>
      <c r="E118" s="64"/>
      <c r="F118" s="78"/>
      <c r="G118" s="78"/>
      <c r="H118" s="64"/>
      <c r="I118" s="64"/>
      <c r="J118" s="11"/>
    </row>
    <row r="119" spans="1:10" x14ac:dyDescent="0.6">
      <c r="A119" s="11"/>
      <c r="C119" s="64"/>
      <c r="D119" s="64"/>
      <c r="E119" s="64"/>
      <c r="F119" s="78"/>
      <c r="G119" s="78"/>
      <c r="H119" s="64"/>
      <c r="I119" s="64"/>
      <c r="J119" s="11"/>
    </row>
    <row r="120" spans="1:10" x14ac:dyDescent="0.6">
      <c r="A120" s="11"/>
      <c r="C120" s="64"/>
      <c r="D120" s="64"/>
      <c r="E120" s="64"/>
      <c r="F120" s="78"/>
      <c r="G120" s="78"/>
      <c r="H120" s="64"/>
      <c r="I120" s="64"/>
      <c r="J120" s="11"/>
    </row>
    <row r="121" spans="1:10" x14ac:dyDescent="0.6">
      <c r="A121" s="11"/>
      <c r="C121" s="64"/>
      <c r="D121" s="64"/>
      <c r="E121" s="64"/>
      <c r="F121" s="78"/>
      <c r="G121" s="78"/>
      <c r="H121" s="64"/>
      <c r="I121" s="64"/>
      <c r="J121" s="11"/>
    </row>
    <row r="122" spans="1:10" x14ac:dyDescent="0.6">
      <c r="A122" s="11"/>
      <c r="C122" s="64"/>
      <c r="D122" s="64"/>
      <c r="E122" s="64"/>
      <c r="F122" s="78"/>
      <c r="G122" s="78"/>
      <c r="H122" s="64"/>
      <c r="I122" s="64"/>
      <c r="J122" s="11"/>
    </row>
    <row r="123" spans="1:10" x14ac:dyDescent="0.6">
      <c r="A123" s="11"/>
      <c r="C123" s="64"/>
      <c r="D123" s="64"/>
      <c r="E123" s="64"/>
      <c r="F123" s="78"/>
      <c r="G123" s="78"/>
      <c r="H123" s="64"/>
      <c r="I123" s="64"/>
      <c r="J123" s="11"/>
    </row>
    <row r="124" spans="1:10" x14ac:dyDescent="0.6">
      <c r="A124" s="11"/>
      <c r="C124" s="64"/>
      <c r="D124" s="64"/>
      <c r="E124" s="64"/>
      <c r="F124" s="78"/>
      <c r="G124" s="78"/>
      <c r="H124" s="64"/>
      <c r="I124" s="64"/>
      <c r="J124" s="11"/>
    </row>
    <row r="125" spans="1:10" x14ac:dyDescent="0.6">
      <c r="A125" s="11"/>
      <c r="C125" s="64"/>
      <c r="D125" s="64"/>
      <c r="E125" s="64"/>
      <c r="F125" s="78"/>
      <c r="G125" s="78"/>
      <c r="H125" s="64"/>
      <c r="I125" s="64"/>
      <c r="J125" s="11"/>
    </row>
  </sheetData>
  <phoneticPr fontId="5" type="noConversion"/>
  <printOptions horizontalCentered="1"/>
  <pageMargins left="0.75" right="0.75" top="1" bottom="1" header="0.5" footer="0.5"/>
  <pageSetup fitToHeight="3" orientation="landscape" r:id="rId1"/>
  <headerFooter alignWithMargins="0">
    <oddFooter>&amp;L&amp;F</oddFooter>
  </headerFooter>
  <rowBreaks count="2" manualBreakCount="2">
    <brk id="36" max="8" man="1"/>
    <brk id="62"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Q34"/>
  <sheetViews>
    <sheetView zoomScale="70" workbookViewId="0"/>
  </sheetViews>
  <sheetFormatPr defaultColWidth="9.08984375" defaultRowHeight="13" x14ac:dyDescent="0.6"/>
  <cols>
    <col min="1" max="1" width="25.6796875" style="11" customWidth="1"/>
    <col min="2" max="2" width="9.31640625" style="11" customWidth="1"/>
    <col min="3" max="3" width="2.6796875" style="11" customWidth="1"/>
    <col min="4" max="4" width="8.6796875" style="11" customWidth="1"/>
    <col min="5" max="5" width="2.6796875" style="11" customWidth="1"/>
    <col min="6" max="6" width="9.31640625" style="11" customWidth="1"/>
    <col min="7" max="7" width="2.6796875" style="11" customWidth="1"/>
    <col min="8" max="8" width="7.453125" style="11" customWidth="1"/>
    <col min="9" max="9" width="3.31640625" style="11" customWidth="1"/>
    <col min="10" max="10" width="9.31640625" style="11" customWidth="1"/>
    <col min="11" max="11" width="7.453125" style="11" customWidth="1"/>
    <col min="12" max="16384" width="9.08984375" style="11"/>
  </cols>
  <sheetData>
    <row r="1" spans="1:11" ht="15.5" x14ac:dyDescent="0.7">
      <c r="A1" s="158" t="s">
        <v>562</v>
      </c>
      <c r="B1" s="36"/>
      <c r="C1" s="36"/>
      <c r="D1" s="36"/>
      <c r="E1" s="36"/>
    </row>
    <row r="2" spans="1:11" ht="15.5" x14ac:dyDescent="0.7">
      <c r="A2" s="158" t="s">
        <v>787</v>
      </c>
      <c r="B2" s="36"/>
      <c r="C2" s="36"/>
      <c r="D2" s="36"/>
      <c r="E2" s="36"/>
      <c r="H2" s="48"/>
    </row>
    <row r="3" spans="1:11" ht="39.9" customHeight="1" x14ac:dyDescent="0.6">
      <c r="B3" s="160" t="s">
        <v>216</v>
      </c>
      <c r="C3" s="160"/>
      <c r="D3" s="160" t="s">
        <v>257</v>
      </c>
      <c r="E3" s="160"/>
      <c r="F3" s="160" t="s">
        <v>478</v>
      </c>
      <c r="G3" s="160"/>
      <c r="H3" s="160" t="s">
        <v>271</v>
      </c>
      <c r="J3" s="160" t="s">
        <v>273</v>
      </c>
      <c r="K3" s="160" t="s">
        <v>272</v>
      </c>
    </row>
    <row r="4" spans="1:11" x14ac:dyDescent="0.6">
      <c r="A4" s="25" t="s">
        <v>784</v>
      </c>
    </row>
    <row r="5" spans="1:11" x14ac:dyDescent="0.6">
      <c r="A5" s="11" t="s">
        <v>212</v>
      </c>
      <c r="B5" s="40">
        <v>0</v>
      </c>
      <c r="C5" s="285"/>
      <c r="F5" s="40">
        <v>0</v>
      </c>
      <c r="G5" s="285"/>
      <c r="H5" s="162">
        <v>0</v>
      </c>
    </row>
    <row r="6" spans="1:11" x14ac:dyDescent="0.6">
      <c r="A6" s="25" t="s">
        <v>262</v>
      </c>
      <c r="B6" s="40">
        <v>0</v>
      </c>
      <c r="C6" s="285"/>
    </row>
    <row r="7" spans="1:11" x14ac:dyDescent="0.6">
      <c r="A7" s="25" t="s">
        <v>263</v>
      </c>
      <c r="B7" s="53">
        <f>B6*D7</f>
        <v>0</v>
      </c>
      <c r="C7" s="53"/>
      <c r="D7" s="163"/>
      <c r="E7" s="305"/>
    </row>
    <row r="8" spans="1:11" x14ac:dyDescent="0.6">
      <c r="A8" s="25" t="s">
        <v>213</v>
      </c>
      <c r="B8" s="53">
        <f>B5-B7</f>
        <v>0</v>
      </c>
      <c r="C8" s="53"/>
    </row>
    <row r="9" spans="1:11" x14ac:dyDescent="0.6">
      <c r="A9" s="25" t="s">
        <v>214</v>
      </c>
      <c r="B9" s="53">
        <f>B8*D9</f>
        <v>0</v>
      </c>
      <c r="C9" s="53"/>
      <c r="D9" s="163"/>
      <c r="E9" s="305"/>
    </row>
    <row r="10" spans="1:11" x14ac:dyDescent="0.6">
      <c r="A10" s="25" t="s">
        <v>215</v>
      </c>
      <c r="B10" s="53">
        <f>B8-B9</f>
        <v>0</v>
      </c>
      <c r="C10" s="53"/>
      <c r="H10" s="162"/>
    </row>
    <row r="11" spans="1:11" x14ac:dyDescent="0.6">
      <c r="A11" s="25" t="s">
        <v>785</v>
      </c>
      <c r="B11" s="53">
        <v>0</v>
      </c>
      <c r="C11" s="304"/>
      <c r="H11" s="162">
        <v>0</v>
      </c>
      <c r="I11" s="305"/>
      <c r="J11" s="335">
        <v>0.9952967509530305</v>
      </c>
      <c r="K11" s="162">
        <f>H11/J11</f>
        <v>0</v>
      </c>
    </row>
    <row r="12" spans="1:11" x14ac:dyDescent="0.6">
      <c r="A12" s="25" t="s">
        <v>786</v>
      </c>
      <c r="B12" s="53">
        <f>B10-B11</f>
        <v>0</v>
      </c>
      <c r="C12" s="53"/>
      <c r="H12" s="162">
        <v>0</v>
      </c>
      <c r="I12" s="305"/>
      <c r="J12" s="335">
        <v>0.9952967509530305</v>
      </c>
      <c r="K12" s="162">
        <f>H12/J12</f>
        <v>0</v>
      </c>
    </row>
    <row r="13" spans="1:11" ht="8.15" customHeight="1" x14ac:dyDescent="0.6">
      <c r="A13" s="25"/>
      <c r="B13" s="53"/>
      <c r="C13" s="53"/>
      <c r="H13" s="162"/>
    </row>
    <row r="14" spans="1:11" ht="8.15" customHeight="1" x14ac:dyDescent="0.6">
      <c r="A14" s="25"/>
      <c r="B14" s="53"/>
      <c r="C14" s="53"/>
      <c r="H14" s="162"/>
    </row>
    <row r="15" spans="1:11" ht="8.15" customHeight="1" x14ac:dyDescent="0.6"/>
    <row r="16" spans="1:11" x14ac:dyDescent="0.6">
      <c r="A16" s="25" t="s">
        <v>227</v>
      </c>
    </row>
    <row r="17" spans="1:17" x14ac:dyDescent="0.6">
      <c r="A17" s="11" t="s">
        <v>212</v>
      </c>
      <c r="B17" s="40">
        <v>352828.13099999999</v>
      </c>
      <c r="C17" s="285" t="s">
        <v>236</v>
      </c>
      <c r="F17" s="40">
        <v>2973.7303999999999</v>
      </c>
      <c r="G17" s="285" t="s">
        <v>236</v>
      </c>
      <c r="H17" s="162">
        <f>B17/F17</f>
        <v>118.6483250129198</v>
      </c>
    </row>
    <row r="18" spans="1:17" x14ac:dyDescent="0.6">
      <c r="A18" s="25" t="s">
        <v>262</v>
      </c>
      <c r="B18" s="40">
        <v>43033.922558284707</v>
      </c>
      <c r="C18" s="285" t="s">
        <v>236</v>
      </c>
    </row>
    <row r="19" spans="1:17" x14ac:dyDescent="0.6">
      <c r="A19" s="25" t="s">
        <v>263</v>
      </c>
      <c r="B19" s="53">
        <f>B18*D19</f>
        <v>633.8812567492447</v>
      </c>
      <c r="C19" s="53"/>
      <c r="D19" s="163">
        <v>1.4729804281511228E-2</v>
      </c>
      <c r="E19" s="305" t="s">
        <v>239</v>
      </c>
    </row>
    <row r="20" spans="1:17" x14ac:dyDescent="0.6">
      <c r="A20" s="25" t="s">
        <v>213</v>
      </c>
      <c r="B20" s="53">
        <f>B17-B19</f>
        <v>352194.24974325072</v>
      </c>
      <c r="C20" s="53"/>
    </row>
    <row r="21" spans="1:17" x14ac:dyDescent="0.6">
      <c r="A21" s="25" t="s">
        <v>214</v>
      </c>
      <c r="B21" s="53">
        <f>B20*D21</f>
        <v>3904.6605322048295</v>
      </c>
      <c r="C21" s="53"/>
      <c r="D21" s="163">
        <v>1.1086667471292683E-2</v>
      </c>
      <c r="E21" s="305" t="s">
        <v>240</v>
      </c>
    </row>
    <row r="22" spans="1:17" x14ac:dyDescent="0.6">
      <c r="A22" s="25" t="s">
        <v>215</v>
      </c>
      <c r="B22" s="53">
        <f>B20-B21</f>
        <v>348289.58921104588</v>
      </c>
      <c r="C22" s="53"/>
      <c r="H22" s="162"/>
    </row>
    <row r="23" spans="1:17" x14ac:dyDescent="0.6">
      <c r="A23" s="25" t="s">
        <v>785</v>
      </c>
      <c r="B23" s="53">
        <v>142789.06047166753</v>
      </c>
      <c r="C23" s="304" t="s">
        <v>238</v>
      </c>
      <c r="H23" s="162">
        <f>H24/2</f>
        <v>106.57787103941583</v>
      </c>
      <c r="I23" s="305" t="s">
        <v>241</v>
      </c>
      <c r="J23" s="335">
        <v>0.9952967509530305</v>
      </c>
      <c r="K23" s="162">
        <f>H23/J23</f>
        <v>107.08150201170042</v>
      </c>
    </row>
    <row r="24" spans="1:17" x14ac:dyDescent="0.6">
      <c r="A24" s="25" t="s">
        <v>786</v>
      </c>
      <c r="B24" s="53">
        <f>B22-B23</f>
        <v>205500.52873937835</v>
      </c>
      <c r="C24" s="53"/>
      <c r="H24" s="162">
        <f>(3*B23+B24)/F17</f>
        <v>213.15574207883165</v>
      </c>
      <c r="I24" s="305" t="s">
        <v>242</v>
      </c>
      <c r="J24" s="335">
        <v>0.9952967509530305</v>
      </c>
      <c r="K24" s="162">
        <f>H24/J24</f>
        <v>214.16300402340084</v>
      </c>
    </row>
    <row r="25" spans="1:17" x14ac:dyDescent="0.6">
      <c r="A25" s="141"/>
      <c r="B25" s="141"/>
      <c r="C25" s="141"/>
      <c r="D25" s="141"/>
      <c r="E25" s="141"/>
    </row>
    <row r="26" spans="1:17" x14ac:dyDescent="0.6">
      <c r="A26" s="24" t="s">
        <v>235</v>
      </c>
    </row>
    <row r="27" spans="1:17" x14ac:dyDescent="0.6">
      <c r="A27" s="25" t="s">
        <v>804</v>
      </c>
    </row>
    <row r="28" spans="1:17" x14ac:dyDescent="0.6">
      <c r="A28" s="25" t="s">
        <v>805</v>
      </c>
    </row>
    <row r="29" spans="1:17" ht="24.9" customHeight="1" x14ac:dyDescent="0.6">
      <c r="A29" s="611" t="s">
        <v>806</v>
      </c>
      <c r="B29" s="612"/>
      <c r="C29" s="612"/>
      <c r="D29" s="612"/>
      <c r="E29" s="612"/>
      <c r="F29" s="612"/>
      <c r="M29" s="140"/>
      <c r="N29" s="140"/>
      <c r="O29" s="140"/>
      <c r="P29" s="140"/>
      <c r="Q29" s="140"/>
    </row>
    <row r="30" spans="1:17" ht="24.9" customHeight="1" x14ac:dyDescent="0.6">
      <c r="A30" s="611" t="s">
        <v>807</v>
      </c>
      <c r="B30" s="612"/>
      <c r="C30" s="612"/>
      <c r="D30" s="612"/>
      <c r="E30" s="612"/>
      <c r="F30" s="612"/>
    </row>
    <row r="31" spans="1:17" ht="24.9" customHeight="1" x14ac:dyDescent="0.6">
      <c r="A31" s="611" t="s">
        <v>264</v>
      </c>
      <c r="B31" s="612"/>
      <c r="C31" s="612"/>
      <c r="D31" s="612"/>
      <c r="E31" s="612"/>
      <c r="F31" s="612"/>
    </row>
    <row r="32" spans="1:17" ht="24.9" customHeight="1" x14ac:dyDescent="0.6">
      <c r="A32" s="611" t="s">
        <v>265</v>
      </c>
      <c r="B32" s="612"/>
      <c r="C32" s="612"/>
      <c r="D32" s="612"/>
      <c r="E32" s="612"/>
      <c r="F32" s="612"/>
    </row>
    <row r="33" spans="1:1" x14ac:dyDescent="0.6">
      <c r="A33" s="12" t="s">
        <v>0</v>
      </c>
    </row>
    <row r="34" spans="1:1" x14ac:dyDescent="0.6">
      <c r="A34" s="12" t="s">
        <v>1</v>
      </c>
    </row>
  </sheetData>
  <mergeCells count="4">
    <mergeCell ref="A29:F29"/>
    <mergeCell ref="A30:F30"/>
    <mergeCell ref="A31:F31"/>
    <mergeCell ref="A32:F32"/>
  </mergeCells>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pageSetUpPr fitToPage="1"/>
  </sheetPr>
  <dimension ref="A1:K22"/>
  <sheetViews>
    <sheetView zoomScale="70" workbookViewId="0"/>
  </sheetViews>
  <sheetFormatPr defaultRowHeight="13" x14ac:dyDescent="0.6"/>
  <cols>
    <col min="1" max="1" width="12.453125" customWidth="1"/>
    <col min="2" max="2" width="15.86328125" customWidth="1"/>
    <col min="3" max="5" width="11.6796875" customWidth="1"/>
    <col min="6" max="6" width="3.6796875" customWidth="1"/>
    <col min="7" max="7" width="11.6796875" customWidth="1"/>
    <col min="8" max="8" width="3.6796875" customWidth="1"/>
    <col min="9" max="10" width="11.6796875" customWidth="1"/>
  </cols>
  <sheetData>
    <row r="1" spans="1:11" ht="15.5" x14ac:dyDescent="0.7">
      <c r="A1" s="443" t="s">
        <v>54</v>
      </c>
      <c r="B1" s="158"/>
    </row>
    <row r="2" spans="1:11" ht="15.5" x14ac:dyDescent="0.7">
      <c r="A2" s="158" t="s">
        <v>787</v>
      </c>
      <c r="B2" s="443"/>
    </row>
    <row r="3" spans="1:11" ht="26" x14ac:dyDescent="0.6">
      <c r="A3" s="445" t="s">
        <v>399</v>
      </c>
      <c r="B3" s="444" t="s">
        <v>348</v>
      </c>
      <c r="C3" s="168" t="s">
        <v>250</v>
      </c>
      <c r="D3" s="189" t="s">
        <v>249</v>
      </c>
      <c r="E3" s="8" t="s">
        <v>104</v>
      </c>
      <c r="F3" s="8"/>
      <c r="G3" s="199" t="s">
        <v>246</v>
      </c>
      <c r="H3" s="87"/>
      <c r="I3" s="160" t="s">
        <v>218</v>
      </c>
      <c r="J3" s="41" t="s">
        <v>133</v>
      </c>
      <c r="K3" s="11"/>
    </row>
    <row r="4" spans="1:11" x14ac:dyDescent="0.6">
      <c r="A4" s="12" t="s">
        <v>2</v>
      </c>
      <c r="B4" t="s">
        <v>278</v>
      </c>
      <c r="C4" s="6">
        <f>SUM('Table 3.24-CIOSS Detail'!E4,'Table 3.24-CIOSS Detail'!E19)</f>
        <v>642433.56033685408</v>
      </c>
      <c r="D4" s="42">
        <f>SUM('Table 3.24-CIOSS Detail'!F4,'Table 3.24-CIOSS Detail'!F19)</f>
        <v>14840.384215703483</v>
      </c>
      <c r="E4" s="83">
        <f>IF(ISERROR(D4/C4),"n/a",D4/C4)</f>
        <v>2.3100263018516757E-2</v>
      </c>
      <c r="G4" s="29">
        <v>2.6466042345528979</v>
      </c>
      <c r="I4" s="42">
        <f>D4*G4</f>
        <v>39276.623707672828</v>
      </c>
      <c r="J4" s="83">
        <f>IF(ISERROR(I4/C4),"n/a",I4/C4)</f>
        <v>6.1137253924092159E-2</v>
      </c>
    </row>
    <row r="5" spans="1:11" x14ac:dyDescent="0.6">
      <c r="B5" s="12" t="s">
        <v>431</v>
      </c>
      <c r="C5" s="6">
        <f>SUM('Table 3.24-CIOSS Detail'!E5,'Table 3.24-CIOSS Detail'!E12,'Table 3.24-CIOSS Detail'!E20,'Table 3.24-CIOSS Detail'!E27,'Table 3.24-CIOSS Detail'!E34)</f>
        <v>1162343.2343075164</v>
      </c>
      <c r="D5" s="42">
        <f>SUM('Table 3.24-CIOSS Detail'!F5,'Table 3.24-CIOSS Detail'!F12,'Table 3.24-CIOSS Detail'!F20,'Table 3.24-CIOSS Detail'!F27,'Table 3.24-CIOSS Detail'!F34)</f>
        <v>-4202.1339146703094</v>
      </c>
      <c r="E5" s="83">
        <f>IF(ISERROR(D5/C5),"n/a",D5/C5)</f>
        <v>-3.6152263725901879E-3</v>
      </c>
      <c r="G5" s="29">
        <v>2.6466042345528979</v>
      </c>
      <c r="I5" s="42">
        <f>D5*G5</f>
        <v>-11121.385412724787</v>
      </c>
      <c r="J5" s="83">
        <f>IF(ISERROR(I5/C5),"n/a",I5/C5)</f>
        <v>-9.5680734265645041E-3</v>
      </c>
    </row>
    <row r="6" spans="1:11" x14ac:dyDescent="0.6">
      <c r="B6" t="s">
        <v>279</v>
      </c>
      <c r="C6" s="6">
        <f>SUM('Table 3.24-CIOSS Detail'!E6,'Table 3.24-CIOSS Detail'!E13,'Table 3.24-CIOSS Detail'!E21,'Table 3.24-CIOSS Detail'!E28)</f>
        <v>757386.77818114776</v>
      </c>
      <c r="D6" s="42">
        <f>SUM('Table 3.24-CIOSS Detail'!F6,'Table 3.24-CIOSS Detail'!F13,'Table 3.24-CIOSS Detail'!F21,'Table 3.24-CIOSS Detail'!F28)</f>
        <v>17710.770673701227</v>
      </c>
      <c r="E6" s="83">
        <f>IF(ISERROR(D6/C6),"n/a",D6/C6)</f>
        <v>2.338405050618042E-2</v>
      </c>
      <c r="G6" s="29">
        <v>2.6466042345528979</v>
      </c>
      <c r="I6" s="42">
        <f>D6*G6</f>
        <v>46873.400662212945</v>
      </c>
      <c r="J6" s="83">
        <f>IF(ISERROR(I6/C6),"n/a",I6/C6)</f>
        <v>6.1888327090655934E-2</v>
      </c>
    </row>
    <row r="7" spans="1:11" x14ac:dyDescent="0.6">
      <c r="C7" s="6"/>
      <c r="D7" s="42"/>
    </row>
    <row r="8" spans="1:11" x14ac:dyDescent="0.6">
      <c r="A8" s="12" t="s">
        <v>3</v>
      </c>
      <c r="B8" t="s">
        <v>278</v>
      </c>
      <c r="C8" s="6">
        <f>SUM('Table 3.24-CIOSS Detail'!E8,'Table 3.24-CIOSS Detail'!E23)</f>
        <v>102467.45466314587</v>
      </c>
      <c r="D8" s="42">
        <f>SUM('Table 3.24-CIOSS Detail'!F8,'Table 3.24-CIOSS Detail'!F23)</f>
        <v>2367.0251535566108</v>
      </c>
      <c r="E8" s="83">
        <f>IF(ISERROR(D8/C8),"n/a",D8/C8)</f>
        <v>2.3100263018516757E-2</v>
      </c>
      <c r="G8" s="29">
        <v>2.6466042345528979</v>
      </c>
      <c r="I8" s="42">
        <f>D8*G8</f>
        <v>6264.57879469615</v>
      </c>
      <c r="J8" s="83">
        <f>IF(ISERROR(I8/C8),"n/a",I8/C8)</f>
        <v>6.1137253924092159E-2</v>
      </c>
    </row>
    <row r="9" spans="1:11" x14ac:dyDescent="0.6">
      <c r="B9" s="12" t="s">
        <v>373</v>
      </c>
      <c r="C9" s="6">
        <f>SUM('Table 3.24-CIOSS Detail'!E9,'Table 3.24-CIOSS Detail'!E24)</f>
        <v>4624.0187736767557</v>
      </c>
      <c r="D9" s="42">
        <f>SUM('Table 3.24-CIOSS Detail'!F9,'Table 3.24-CIOSS Detail'!F24)</f>
        <v>106.81604987449236</v>
      </c>
      <c r="E9" s="83">
        <f>IF(ISERROR(D9/C9),"n/a",D9/C9)</f>
        <v>2.3100263018516757E-2</v>
      </c>
      <c r="G9" s="29">
        <v>2.6466042345528979</v>
      </c>
      <c r="I9" s="42">
        <f>D9*G9</f>
        <v>282.69980991604501</v>
      </c>
      <c r="J9" s="83">
        <f>IF(ISERROR(I9/C9),"n/a",I9/C9)</f>
        <v>6.1137253924092153E-2</v>
      </c>
    </row>
    <row r="10" spans="1:11" x14ac:dyDescent="0.6">
      <c r="B10" t="s">
        <v>279</v>
      </c>
      <c r="C10" s="6">
        <f>SUM('Table 3.24-CIOSS Detail'!E10,'Table 3.24-CIOSS Detail'!E25)</f>
        <v>141580.59456317738</v>
      </c>
      <c r="D10" s="42">
        <f>SUM('Table 3.24-CIOSS Detail'!F10,'Table 3.24-CIOSS Detail'!F25)</f>
        <v>3270.5489727273812</v>
      </c>
      <c r="E10" s="83">
        <f>IF(ISERROR(D10/C10),"n/a",D10/C10)</f>
        <v>2.3100263018516757E-2</v>
      </c>
      <c r="G10" s="29">
        <v>2.6466042345528979</v>
      </c>
      <c r="I10" s="42">
        <f>D10*G10</f>
        <v>8655.8487605329174</v>
      </c>
      <c r="J10" s="83">
        <f>IF(ISERROR(I10/C10),"n/a",I10/C10)</f>
        <v>6.1137253924092159E-2</v>
      </c>
    </row>
    <row r="11" spans="1:11" x14ac:dyDescent="0.6">
      <c r="C11" s="6"/>
      <c r="D11" s="42"/>
    </row>
    <row r="12" spans="1:11" x14ac:dyDescent="0.6">
      <c r="A12" s="12" t="s">
        <v>4</v>
      </c>
      <c r="B12" s="12" t="s">
        <v>373</v>
      </c>
      <c r="C12" s="6">
        <f>SUM('Table 3.24-CIOSS Detail'!E15,'Table 3.24-CIOSS Detail'!E30,'Table 3.24-CIOSS Detail'!E36)</f>
        <v>90685.417918807114</v>
      </c>
      <c r="D12" s="42">
        <f>SUM('Table 3.24-CIOSS Detail'!F15,'Table 3.24-CIOSS Detail'!F30,'Table 3.24-CIOSS Detail'!F36)</f>
        <v>1126.955746425333</v>
      </c>
      <c r="E12" s="83">
        <f>IF(ISERROR(D12/C12),"n/a",D12/C12)</f>
        <v>1.2427088856053177E-2</v>
      </c>
      <c r="G12" s="29">
        <v>2.6466042345528979</v>
      </c>
      <c r="I12" s="42">
        <f>D12*G12</f>
        <v>2982.6058506430081</v>
      </c>
      <c r="J12" s="83">
        <f>IF(ISERROR(I12/C12),"n/a",I12/C12)</f>
        <v>3.2889585989595467E-2</v>
      </c>
    </row>
    <row r="13" spans="1:11" x14ac:dyDescent="0.6">
      <c r="A13" s="283"/>
      <c r="B13" s="325" t="s">
        <v>279</v>
      </c>
      <c r="C13" s="10">
        <f>SUM('Table 3.24-CIOSS Detail'!E16,'Table 3.24-CIOSS Detail'!E31,'Table 3.24-CIOSS Detail'!E37)</f>
        <v>278530.24725567456</v>
      </c>
      <c r="D13" s="174">
        <f>SUM('Table 3.24-CIOSS Detail'!F16,'Table 3.24-CIOSS Detail'!F31,'Table 3.24-CIOSS Detail'!F37)</f>
        <v>3580.1466005026955</v>
      </c>
      <c r="E13" s="172">
        <f>IF(ISERROR(D13/C13),"n/a",D13/C13)</f>
        <v>1.2853708477903045E-2</v>
      </c>
      <c r="F13" s="283"/>
      <c r="G13" s="446">
        <v>2.6466042345528979</v>
      </c>
      <c r="H13" s="283"/>
      <c r="I13" s="174">
        <f>D13*G13</f>
        <v>9475.2311532105959</v>
      </c>
      <c r="J13" s="172">
        <f>IF(ISERROR(I13/C13),"n/a",I13/C13)</f>
        <v>3.4018679287326686E-2</v>
      </c>
    </row>
    <row r="14" spans="1:11" x14ac:dyDescent="0.6">
      <c r="B14" s="14" t="s">
        <v>102</v>
      </c>
      <c r="C14" s="6">
        <f>SUM(C4:C13)</f>
        <v>3180051.3059999999</v>
      </c>
      <c r="D14" s="42">
        <f>SUM(D4:D13)</f>
        <v>38800.51349782091</v>
      </c>
      <c r="E14" s="83">
        <f>IF(ISERROR(D14/C14),"n/a",D14/C14)</f>
        <v>1.2201222484874246E-2</v>
      </c>
      <c r="I14" s="42">
        <f>SUM(I4:I13)</f>
        <v>102689.6033261597</v>
      </c>
      <c r="J14" s="83">
        <f>IF(ISERROR(I14/C14),"n/a",I14/C14)</f>
        <v>3.2291807095190216E-2</v>
      </c>
    </row>
    <row r="15" spans="1:11" hidden="1" x14ac:dyDescent="0.6">
      <c r="B15" s="14"/>
      <c r="C15" s="6"/>
      <c r="D15" s="42"/>
      <c r="E15" s="83"/>
      <c r="I15" s="42"/>
      <c r="J15" s="83"/>
    </row>
    <row r="16" spans="1:11" hidden="1" x14ac:dyDescent="0.6">
      <c r="B16" s="14" t="s">
        <v>191</v>
      </c>
      <c r="C16" s="143">
        <f>C14-'Table 3.24-CIOSS Detail'!E40</f>
        <v>0</v>
      </c>
      <c r="D16" s="143">
        <f>D14-'Table 3.24-CIOSS Detail'!F40</f>
        <v>0</v>
      </c>
      <c r="E16" s="83"/>
      <c r="H16" s="14" t="s">
        <v>191</v>
      </c>
      <c r="I16" s="143">
        <f>I14-'Table 3.24-CIOSS Detail'!K40</f>
        <v>0</v>
      </c>
      <c r="J16" s="143">
        <f>J14-'Table 3.24-CIOSS Detail'!L40</f>
        <v>0</v>
      </c>
    </row>
    <row r="17" spans="1:10" x14ac:dyDescent="0.6">
      <c r="A17" s="283"/>
      <c r="B17" s="293"/>
      <c r="C17" s="6"/>
      <c r="D17" s="42"/>
      <c r="E17" s="83"/>
      <c r="I17" s="42"/>
      <c r="J17" s="83"/>
    </row>
    <row r="18" spans="1:10" x14ac:dyDescent="0.6">
      <c r="A18" s="11" t="s">
        <v>235</v>
      </c>
      <c r="B18" s="64"/>
      <c r="C18" s="64"/>
    </row>
    <row r="19" spans="1:10" x14ac:dyDescent="0.6">
      <c r="A19" s="25" t="s">
        <v>654</v>
      </c>
      <c r="B19" s="64"/>
      <c r="C19" s="64"/>
    </row>
    <row r="20" spans="1:10" x14ac:dyDescent="0.6">
      <c r="A20" s="25" t="s">
        <v>795</v>
      </c>
    </row>
    <row r="21" spans="1:10" x14ac:dyDescent="0.6">
      <c r="A21" s="12" t="s">
        <v>21</v>
      </c>
    </row>
    <row r="22" spans="1:10" x14ac:dyDescent="0.6">
      <c r="A22" s="12" t="s">
        <v>5</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pageSetUpPr fitToPage="1"/>
  </sheetPr>
  <dimension ref="A1:M57"/>
  <sheetViews>
    <sheetView zoomScale="70" workbookViewId="0"/>
  </sheetViews>
  <sheetFormatPr defaultRowHeight="13" x14ac:dyDescent="0.6"/>
  <cols>
    <col min="1" max="1" width="27.08984375" customWidth="1"/>
    <col min="2" max="2" width="9.6796875" customWidth="1"/>
    <col min="3" max="3" width="25.6796875" customWidth="1"/>
    <col min="4" max="4" width="15.86328125" customWidth="1"/>
    <col min="5" max="7" width="11.6796875" customWidth="1"/>
    <col min="8" max="8" width="3.6796875" customWidth="1"/>
    <col min="9" max="9" width="11.6796875" customWidth="1"/>
    <col min="10" max="10" width="3.6796875" customWidth="1"/>
    <col min="11" max="12" width="11.6796875" customWidth="1"/>
  </cols>
  <sheetData>
    <row r="1" spans="1:13" ht="15.5" x14ac:dyDescent="0.7">
      <c r="A1" s="158" t="s">
        <v>563</v>
      </c>
      <c r="B1" s="158"/>
      <c r="C1" s="158"/>
      <c r="D1" s="158"/>
    </row>
    <row r="2" spans="1:13" ht="15.5" x14ac:dyDescent="0.7">
      <c r="A2" s="158" t="s">
        <v>787</v>
      </c>
      <c r="B2" s="443"/>
      <c r="C2" s="443"/>
      <c r="D2" s="443"/>
    </row>
    <row r="3" spans="1:13" ht="26" x14ac:dyDescent="0.6">
      <c r="A3" s="444" t="s">
        <v>396</v>
      </c>
      <c r="B3" s="445" t="s">
        <v>399</v>
      </c>
      <c r="C3" s="444" t="s">
        <v>397</v>
      </c>
      <c r="D3" s="444" t="s">
        <v>348</v>
      </c>
      <c r="E3" s="168" t="s">
        <v>402</v>
      </c>
      <c r="F3" s="189" t="s">
        <v>403</v>
      </c>
      <c r="G3" s="8" t="s">
        <v>104</v>
      </c>
      <c r="H3" s="8"/>
      <c r="I3" s="199" t="s">
        <v>404</v>
      </c>
      <c r="J3" s="87"/>
      <c r="K3" s="160" t="s">
        <v>218</v>
      </c>
      <c r="L3" s="41" t="s">
        <v>133</v>
      </c>
      <c r="M3" s="11"/>
    </row>
    <row r="4" spans="1:13" x14ac:dyDescent="0.6">
      <c r="A4" s="25" t="s">
        <v>410</v>
      </c>
      <c r="B4" t="s">
        <v>407</v>
      </c>
      <c r="C4" t="s">
        <v>398</v>
      </c>
      <c r="D4" t="s">
        <v>278</v>
      </c>
      <c r="E4" s="6">
        <v>610311.88232001138</v>
      </c>
      <c r="F4" s="42">
        <v>14274.688037918422</v>
      </c>
      <c r="G4" s="83">
        <f>IF(ISERROR(F4/E4),"n/a",F4/E4)</f>
        <v>2.3389169458171589E-2</v>
      </c>
      <c r="I4" s="29">
        <v>2.6466042345528979</v>
      </c>
      <c r="K4" s="42">
        <f>F4*I4</f>
        <v>37779.449808076497</v>
      </c>
      <c r="L4" s="83">
        <f>IF(ISERROR(K4/E4),"n/a",K4/E4)</f>
        <v>6.1901874930672236E-2</v>
      </c>
    </row>
    <row r="5" spans="1:13" x14ac:dyDescent="0.6">
      <c r="D5" t="s">
        <v>373</v>
      </c>
      <c r="E5" s="6">
        <v>218556.13523606508</v>
      </c>
      <c r="F5" s="42">
        <v>5111.8464831593928</v>
      </c>
      <c r="G5" s="83">
        <f>IF(ISERROR(F5/E5),"n/a",F5/E5)</f>
        <v>2.3389169458171589E-2</v>
      </c>
      <c r="I5" s="29">
        <v>2.6466042345528979</v>
      </c>
      <c r="K5" s="42">
        <f>F5*I5</f>
        <v>13529.034548713988</v>
      </c>
      <c r="L5" s="83">
        <f>IF(ISERROR(K5/E5),"n/a",K5/E5)</f>
        <v>6.1901874930672236E-2</v>
      </c>
    </row>
    <row r="6" spans="1:13" x14ac:dyDescent="0.6">
      <c r="D6" t="s">
        <v>279</v>
      </c>
      <c r="E6" s="6">
        <v>12748.678197843843</v>
      </c>
      <c r="F6" s="42">
        <v>298.18099473706718</v>
      </c>
      <c r="G6" s="83">
        <f>IF(ISERROR(F6/E6),"n/a",F6/E6)</f>
        <v>2.3389169458171585E-2</v>
      </c>
      <c r="I6" s="29">
        <v>2.6466042345528979</v>
      </c>
      <c r="K6" s="42">
        <f>F6*I6</f>
        <v>789.16708333431734</v>
      </c>
      <c r="L6" s="83">
        <f>IF(ISERROR(K6/E6),"n/a",K6/E6)</f>
        <v>6.1901874930672222E-2</v>
      </c>
    </row>
    <row r="7" spans="1:13" x14ac:dyDescent="0.6">
      <c r="E7" s="6"/>
      <c r="F7" s="6"/>
    </row>
    <row r="8" spans="1:13" x14ac:dyDescent="0.6">
      <c r="B8" s="12" t="s">
        <v>476</v>
      </c>
      <c r="C8" t="s">
        <v>398</v>
      </c>
      <c r="D8" t="s">
        <v>278</v>
      </c>
      <c r="E8" s="6">
        <v>97344.081929988562</v>
      </c>
      <c r="F8" s="42">
        <v>2276.7972280106414</v>
      </c>
      <c r="G8" s="83">
        <f>IF(ISERROR(F8/E8),"n/a",F8/E8)</f>
        <v>2.3389169458171589E-2</v>
      </c>
      <c r="I8" s="29">
        <v>2.6466042345528979</v>
      </c>
      <c r="K8" s="42">
        <f>F8*I8</f>
        <v>6025.7811848712636</v>
      </c>
      <c r="L8" s="83">
        <f>IF(ISERROR(K8/E8),"n/a",K8/E8)</f>
        <v>6.1901874930672243E-2</v>
      </c>
    </row>
    <row r="9" spans="1:13" x14ac:dyDescent="0.6">
      <c r="D9" t="s">
        <v>373</v>
      </c>
      <c r="E9" s="6">
        <v>4392.8178349929176</v>
      </c>
      <c r="F9" s="42">
        <v>102.7443607415278</v>
      </c>
      <c r="G9" s="83">
        <f>IF(ISERROR(F9/E9),"n/a",F9/E9)</f>
        <v>2.3389169458171592E-2</v>
      </c>
      <c r="I9" s="29">
        <v>2.6466042345528979</v>
      </c>
      <c r="K9" s="42">
        <f>F9*I9</f>
        <v>271.92366021495798</v>
      </c>
      <c r="L9" s="83">
        <f>IF(ISERROR(K9/E9),"n/a",K9/E9)</f>
        <v>6.1901874930672236E-2</v>
      </c>
    </row>
    <row r="10" spans="1:13" x14ac:dyDescent="0.6">
      <c r="D10" t="s">
        <v>279</v>
      </c>
      <c r="E10" s="6">
        <v>134501.56483501851</v>
      </c>
      <c r="F10" s="42">
        <v>3145.8798923155009</v>
      </c>
      <c r="G10" s="83">
        <f>IF(ISERROR(F10/E10),"n/a",F10/E10)</f>
        <v>2.3389169458171592E-2</v>
      </c>
      <c r="I10" s="29">
        <v>2.6466042345528979</v>
      </c>
      <c r="K10" s="42">
        <f>F10*I10</f>
        <v>8325.8990443970197</v>
      </c>
      <c r="L10" s="83">
        <f>IF(ISERROR(K10/E10),"n/a",K10/E10)</f>
        <v>6.1901874930672243E-2</v>
      </c>
    </row>
    <row r="11" spans="1:13" x14ac:dyDescent="0.6">
      <c r="E11" s="6"/>
      <c r="F11" s="27"/>
    </row>
    <row r="12" spans="1:13" x14ac:dyDescent="0.6">
      <c r="B12" t="s">
        <v>407</v>
      </c>
      <c r="C12" s="12" t="s">
        <v>6</v>
      </c>
      <c r="D12" t="s">
        <v>373</v>
      </c>
      <c r="E12" s="6">
        <v>23264.365217964081</v>
      </c>
      <c r="F12" s="42">
        <v>544.1341804197549</v>
      </c>
      <c r="G12" s="83">
        <f>IF(ISERROR(F12/E12),"n/a",F12/E12)</f>
        <v>2.3389169458171589E-2</v>
      </c>
      <c r="I12" s="29">
        <v>2.6466042345528979</v>
      </c>
      <c r="K12" s="42">
        <f>F12*I12</f>
        <v>1440.107826063894</v>
      </c>
      <c r="L12" s="83">
        <f>IF(ISERROR(K12/E12),"n/a",K12/E12)</f>
        <v>6.1901874930672243E-2</v>
      </c>
    </row>
    <row r="13" spans="1:13" x14ac:dyDescent="0.6">
      <c r="C13" s="12" t="s">
        <v>655</v>
      </c>
      <c r="D13" t="s">
        <v>279</v>
      </c>
      <c r="E13" s="6">
        <v>743967.11692025955</v>
      </c>
      <c r="F13" s="42">
        <v>17400.772968955309</v>
      </c>
      <c r="G13" s="83">
        <f>IF(ISERROR(F13/E13),"n/a",F13/E13)</f>
        <v>2.3389169458171592E-2</v>
      </c>
      <c r="I13" s="29">
        <v>2.6466042345528979</v>
      </c>
      <c r="K13" s="42">
        <f>F13*I13</f>
        <v>46052.95942413072</v>
      </c>
      <c r="L13" s="83">
        <f>IF(ISERROR(K13/E13),"n/a",K13/E13)</f>
        <v>6.1901874930672243E-2</v>
      </c>
    </row>
    <row r="14" spans="1:13" x14ac:dyDescent="0.6">
      <c r="E14" s="6"/>
    </row>
    <row r="15" spans="1:13" x14ac:dyDescent="0.6">
      <c r="B15" t="s">
        <v>400</v>
      </c>
      <c r="C15" s="12" t="s">
        <v>6</v>
      </c>
      <c r="D15" t="s">
        <v>373</v>
      </c>
      <c r="E15" s="6">
        <v>3891.5165227089001</v>
      </c>
      <c r="F15" s="42">
        <v>91.019339398913118</v>
      </c>
      <c r="G15" s="83">
        <f>IF(ISERROR(F15/E15),"n/a",F15/E15)</f>
        <v>2.3389169458171592E-2</v>
      </c>
      <c r="I15" s="29">
        <v>2.6466042345528979</v>
      </c>
      <c r="K15" s="42">
        <f>F15*I15</f>
        <v>240.89216907937089</v>
      </c>
      <c r="L15" s="83">
        <f>IF(ISERROR(K15/E15),"n/a",K15/E15)</f>
        <v>6.1901874930672243E-2</v>
      </c>
    </row>
    <row r="16" spans="1:13" x14ac:dyDescent="0.6">
      <c r="B16" s="283"/>
      <c r="C16" s="325" t="s">
        <v>6</v>
      </c>
      <c r="D16" s="283" t="s">
        <v>279</v>
      </c>
      <c r="E16" s="10">
        <v>22051.142798498655</v>
      </c>
      <c r="F16" s="174">
        <v>515.75791566042517</v>
      </c>
      <c r="G16" s="172">
        <f>IF(ISERROR(F16/E16),"n/a",F16/E16)</f>
        <v>2.3389169458171592E-2</v>
      </c>
      <c r="H16" s="283"/>
      <c r="I16" s="446">
        <v>2.6466042345528979</v>
      </c>
      <c r="J16" s="283"/>
      <c r="K16" s="174">
        <f>F16*I16</f>
        <v>1365.0070835910576</v>
      </c>
      <c r="L16" s="172">
        <f>IF(ISERROR(K16/E16),"n/a",K16/E16)</f>
        <v>6.1901874930672243E-2</v>
      </c>
    </row>
    <row r="17" spans="1:12" x14ac:dyDescent="0.6">
      <c r="D17" s="447" t="s">
        <v>406</v>
      </c>
      <c r="E17" s="6">
        <f>SUM(E4:E16)</f>
        <v>1871029.3018133515</v>
      </c>
      <c r="F17" s="42">
        <f>SUM(F4:F16)</f>
        <v>43761.821401316949</v>
      </c>
      <c r="G17" s="83">
        <f>IF(ISERROR(F17/E17),"n/a",F17/E17)</f>
        <v>2.3389169458171589E-2</v>
      </c>
      <c r="K17" s="42">
        <f>SUM(K4:K16)</f>
        <v>115820.22183247308</v>
      </c>
      <c r="L17" s="83">
        <f>IF(ISERROR(K17/E17),"n/a",K17/E17)</f>
        <v>6.1901874930672236E-2</v>
      </c>
    </row>
    <row r="19" spans="1:12" x14ac:dyDescent="0.6">
      <c r="A19" s="25" t="s">
        <v>411</v>
      </c>
      <c r="B19" t="s">
        <v>407</v>
      </c>
      <c r="C19" t="s">
        <v>398</v>
      </c>
      <c r="D19" t="s">
        <v>278</v>
      </c>
      <c r="E19" s="6">
        <v>32121.678016842743</v>
      </c>
      <c r="F19" s="42">
        <v>565.69617778506074</v>
      </c>
      <c r="G19" s="83">
        <f>IF(ISERROR(F19/E19),"n/a",F19/E19)</f>
        <v>1.7611040665074924E-2</v>
      </c>
      <c r="I19" s="29">
        <v>2.6466042345528979</v>
      </c>
      <c r="K19" s="42">
        <f>F19*I19</f>
        <v>1497.1738995963308</v>
      </c>
      <c r="L19" s="83">
        <f>IF(ISERROR(K19/E19),"n/a",K19/E19)</f>
        <v>4.6609454799070575E-2</v>
      </c>
    </row>
    <row r="20" spans="1:12" x14ac:dyDescent="0.6">
      <c r="D20" t="s">
        <v>373</v>
      </c>
      <c r="E20" s="6">
        <v>11502.9544861087</v>
      </c>
      <c r="F20" s="42">
        <v>202.57899922336628</v>
      </c>
      <c r="G20" s="83">
        <f>IF(ISERROR(F20/E20),"n/a",F20/E20)</f>
        <v>1.761104066507492E-2</v>
      </c>
      <c r="I20" s="29">
        <v>2.6466042345528979</v>
      </c>
      <c r="K20" s="42">
        <f>F20*I20</f>
        <v>536.1464371760494</v>
      </c>
      <c r="L20" s="83">
        <f>IF(ISERROR(K20/E20),"n/a",K20/E20)</f>
        <v>4.6609454799070561E-2</v>
      </c>
    </row>
    <row r="21" spans="1:12" x14ac:dyDescent="0.6">
      <c r="D21" t="s">
        <v>279</v>
      </c>
      <c r="E21" s="6">
        <v>670.98306304441348</v>
      </c>
      <c r="F21" s="42">
        <v>11.816710008851697</v>
      </c>
      <c r="G21" s="83">
        <f>IF(ISERROR(F21/E21),"n/a",F21/E21)</f>
        <v>1.7611040665074924E-2</v>
      </c>
      <c r="I21" s="29">
        <v>2.6466042345528979</v>
      </c>
      <c r="K21" s="42">
        <f>F21*I21</f>
        <v>31.274154747910512</v>
      </c>
      <c r="L21" s="83">
        <f>IF(ISERROR(K21/E21),"n/a",K21/E21)</f>
        <v>4.6609454799070575E-2</v>
      </c>
    </row>
    <row r="22" spans="1:12" x14ac:dyDescent="0.6">
      <c r="E22" s="6"/>
      <c r="F22" s="6"/>
    </row>
    <row r="23" spans="1:12" x14ac:dyDescent="0.6">
      <c r="B23" s="12" t="s">
        <v>476</v>
      </c>
      <c r="C23" t="s">
        <v>398</v>
      </c>
      <c r="D23" t="s">
        <v>278</v>
      </c>
      <c r="E23" s="6">
        <v>5123.3727331572973</v>
      </c>
      <c r="F23" s="42">
        <v>90.227925545969228</v>
      </c>
      <c r="G23" s="83">
        <f>IF(ISERROR(F23/E23),"n/a",F23/E23)</f>
        <v>1.7611040665074927E-2</v>
      </c>
      <c r="I23" s="29">
        <v>2.6466042345528979</v>
      </c>
      <c r="K23" s="42">
        <f>F23*I23</f>
        <v>238.79760982488577</v>
      </c>
      <c r="L23" s="83">
        <f>IF(ISERROR(K23/E23),"n/a",K23/E23)</f>
        <v>4.6609454799070582E-2</v>
      </c>
    </row>
    <row r="24" spans="1:12" x14ac:dyDescent="0.6">
      <c r="D24" t="s">
        <v>373</v>
      </c>
      <c r="E24" s="6">
        <v>231.20093868383796</v>
      </c>
      <c r="F24" s="42">
        <v>4.0716891329645639</v>
      </c>
      <c r="G24" s="83">
        <f>IF(ISERROR(F24/E24),"n/a",F24/E24)</f>
        <v>1.761104066507492E-2</v>
      </c>
      <c r="I24" s="29">
        <v>2.6466042345528979</v>
      </c>
      <c r="K24" s="42">
        <f>F24*I24</f>
        <v>10.776149701087032</v>
      </c>
      <c r="L24" s="83">
        <f>IF(ISERROR(K24/E24),"n/a",K24/E24)</f>
        <v>4.6609454799070568E-2</v>
      </c>
    </row>
    <row r="25" spans="1:12" x14ac:dyDescent="0.6">
      <c r="D25" t="s">
        <v>279</v>
      </c>
      <c r="E25" s="6">
        <v>7079.0297281588773</v>
      </c>
      <c r="F25" s="42">
        <v>124.66908041188024</v>
      </c>
      <c r="G25" s="83">
        <f>IF(ISERROR(F25/E25),"n/a",F25/E25)</f>
        <v>1.761104066507492E-2</v>
      </c>
      <c r="I25" s="29">
        <v>2.6466042345528979</v>
      </c>
      <c r="K25" s="42">
        <f>F25*I25</f>
        <v>329.94971613589797</v>
      </c>
      <c r="L25" s="83">
        <f>IF(ISERROR(K25/E25),"n/a",K25/E25)</f>
        <v>4.6609454799070561E-2</v>
      </c>
    </row>
    <row r="26" spans="1:12" x14ac:dyDescent="0.6">
      <c r="E26" s="6"/>
      <c r="F26" s="27"/>
    </row>
    <row r="27" spans="1:12" x14ac:dyDescent="0.6">
      <c r="B27" t="s">
        <v>407</v>
      </c>
      <c r="C27" s="12" t="s">
        <v>6</v>
      </c>
      <c r="D27" s="12" t="s">
        <v>433</v>
      </c>
      <c r="E27" s="6">
        <v>1224.4402746296901</v>
      </c>
      <c r="F27" s="42">
        <v>-6.595345035465594</v>
      </c>
      <c r="G27" s="83">
        <f>IF(ISERROR(F27/E27),"n/a",F27/E27)</f>
        <v>-5.3864162851554659E-3</v>
      </c>
      <c r="I27" s="29">
        <v>2.6466042345528979</v>
      </c>
      <c r="K27" s="42">
        <f>F27*I27</f>
        <v>-17.455268099200673</v>
      </c>
      <c r="L27" s="83">
        <f>IF(ISERROR(K27/E27),"n/a",K27/E27)</f>
        <v>-1.4255712149357145E-2</v>
      </c>
    </row>
    <row r="28" spans="1:12" x14ac:dyDescent="0.6">
      <c r="C28" s="12" t="s">
        <v>655</v>
      </c>
      <c r="D28" t="s">
        <v>279</v>
      </c>
      <c r="E28" s="6">
        <v>0</v>
      </c>
      <c r="F28" s="42">
        <v>0</v>
      </c>
      <c r="G28" s="83" t="str">
        <f>IF(ISERROR(F28/E28),"n/a",F28/E28)</f>
        <v>n/a</v>
      </c>
      <c r="I28" s="29">
        <v>2.6466042345528979</v>
      </c>
      <c r="K28" s="42">
        <f>F28*I28</f>
        <v>0</v>
      </c>
      <c r="L28" s="83" t="str">
        <f>IF(ISERROR(K28/E28),"n/a",K28/E28)</f>
        <v>n/a</v>
      </c>
    </row>
    <row r="29" spans="1:12" x14ac:dyDescent="0.6">
      <c r="E29" s="6"/>
    </row>
    <row r="30" spans="1:12" x14ac:dyDescent="0.6">
      <c r="B30" t="s">
        <v>400</v>
      </c>
      <c r="C30" s="12" t="s">
        <v>6</v>
      </c>
      <c r="D30" t="s">
        <v>373</v>
      </c>
      <c r="E30" s="6">
        <v>204.81665908994228</v>
      </c>
      <c r="F30" s="42">
        <v>3.6070345121177607</v>
      </c>
      <c r="G30" s="83">
        <f>IF(ISERROR(F30/E30),"n/a",F30/E30)</f>
        <v>1.7611040665074924E-2</v>
      </c>
      <c r="I30" s="29">
        <v>2.6466042345528979</v>
      </c>
      <c r="K30" s="42">
        <f>F30*I30</f>
        <v>9.5463928139493124</v>
      </c>
      <c r="L30" s="83">
        <f>IF(ISERROR(K30/E30),"n/a",K30/E30)</f>
        <v>4.6609454799070575E-2</v>
      </c>
    </row>
    <row r="31" spans="1:12" x14ac:dyDescent="0.6">
      <c r="B31" s="283"/>
      <c r="C31" s="325" t="s">
        <v>6</v>
      </c>
      <c r="D31" s="283" t="s">
        <v>279</v>
      </c>
      <c r="E31" s="10">
        <v>1160.5864630788776</v>
      </c>
      <c r="F31" s="174">
        <v>20.439135396617587</v>
      </c>
      <c r="G31" s="172">
        <f>IF(ISERROR(F31/E31),"n/a",F31/E31)</f>
        <v>1.761104066507492E-2</v>
      </c>
      <c r="H31" s="283"/>
      <c r="I31" s="446">
        <v>2.6466042345528979</v>
      </c>
      <c r="J31" s="283"/>
      <c r="K31" s="174">
        <f>F31*I31</f>
        <v>54.09430229128813</v>
      </c>
      <c r="L31" s="172">
        <f>IF(ISERROR(K31/E31),"n/a",K31/E31)</f>
        <v>4.6609454799070568E-2</v>
      </c>
    </row>
    <row r="32" spans="1:12" x14ac:dyDescent="0.6">
      <c r="D32" s="447" t="s">
        <v>405</v>
      </c>
      <c r="E32" s="6">
        <f>SUM(E19:E31)</f>
        <v>59319.062362794379</v>
      </c>
      <c r="F32" s="42">
        <f>SUM(F19:F31)</f>
        <v>1016.5114069813626</v>
      </c>
      <c r="G32" s="83">
        <f>IF(ISERROR(F32/E32),"n/a",F32/E32)</f>
        <v>1.7136336389884183E-2</v>
      </c>
      <c r="K32" s="42">
        <f>SUM(K19:K31)</f>
        <v>2690.3033941881986</v>
      </c>
      <c r="L32" s="83">
        <f>IF(ISERROR(K32/E32),"n/a",K32/E32)</f>
        <v>4.5353100454190401E-2</v>
      </c>
    </row>
    <row r="34" spans="1:12" x14ac:dyDescent="0.6">
      <c r="A34" s="25" t="s">
        <v>412</v>
      </c>
      <c r="B34" t="s">
        <v>407</v>
      </c>
      <c r="C34" s="12" t="s">
        <v>409</v>
      </c>
      <c r="D34" s="12" t="s">
        <v>433</v>
      </c>
      <c r="E34" s="6">
        <v>907795.33909274871</v>
      </c>
      <c r="F34" s="42">
        <v>-10054.098232437358</v>
      </c>
      <c r="G34" s="83">
        <f>IF(ISERROR(F34/E34),"n/a",F34/E34)</f>
        <v>-1.1075291752968714E-2</v>
      </c>
      <c r="I34" s="29">
        <v>2.6466042345528979</v>
      </c>
      <c r="K34" s="42">
        <f>F34*I34</f>
        <v>-26609.21895657952</v>
      </c>
      <c r="L34" s="83">
        <f>IF(ISERROR(K34/E34),"n/a",K34/E34)</f>
        <v>-2.9311914052315792E-2</v>
      </c>
    </row>
    <row r="35" spans="1:12" x14ac:dyDescent="0.6">
      <c r="E35" s="6"/>
      <c r="F35" s="42"/>
    </row>
    <row r="36" spans="1:12" x14ac:dyDescent="0.6">
      <c r="B36" t="s">
        <v>400</v>
      </c>
      <c r="C36" t="s">
        <v>409</v>
      </c>
      <c r="D36" t="s">
        <v>373</v>
      </c>
      <c r="E36" s="6">
        <v>86589.084737008277</v>
      </c>
      <c r="F36" s="42">
        <v>1032.3293725143021</v>
      </c>
      <c r="G36" s="83">
        <f>IF(ISERROR(F36/E36),"n/a",F36/E36)</f>
        <v>1.1922165197261674E-2</v>
      </c>
      <c r="I36" s="29">
        <v>2.6466042345528979</v>
      </c>
      <c r="K36" s="42">
        <f>F36*I36</f>
        <v>2732.1672887496879</v>
      </c>
      <c r="L36" s="83">
        <f>IF(ISERROR(K36/E36),"n/a",K36/E36)</f>
        <v>3.1553252896111932E-2</v>
      </c>
    </row>
    <row r="37" spans="1:12" x14ac:dyDescent="0.6">
      <c r="B37" s="283"/>
      <c r="C37" s="283"/>
      <c r="D37" s="283" t="s">
        <v>279</v>
      </c>
      <c r="E37" s="10">
        <v>255318.51799409706</v>
      </c>
      <c r="F37" s="174">
        <v>3043.9495494456528</v>
      </c>
      <c r="G37" s="172">
        <f>IF(ISERROR(F37/E37),"n/a",F37/E37)</f>
        <v>1.1922165197261676E-2</v>
      </c>
      <c r="H37" s="283"/>
      <c r="I37" s="446">
        <v>2.6466042345528979</v>
      </c>
      <c r="J37" s="283"/>
      <c r="K37" s="174">
        <f>F37*I37</f>
        <v>8056.1297673282506</v>
      </c>
      <c r="L37" s="172">
        <f>IF(ISERROR(K37/E37),"n/a",K37/E37)</f>
        <v>3.1553252896111939E-2</v>
      </c>
    </row>
    <row r="38" spans="1:12" x14ac:dyDescent="0.6">
      <c r="D38" s="447" t="s">
        <v>413</v>
      </c>
      <c r="E38" s="6">
        <f>SUM(E34:E37)</f>
        <v>1249702.9418238541</v>
      </c>
      <c r="F38" s="42">
        <f>SUM(F34:F37)</f>
        <v>-5977.8193104774036</v>
      </c>
      <c r="G38" s="83">
        <f>IF(ISERROR(F38/E38),"n/a",F38/E38)</f>
        <v>-4.7833922049932871E-3</v>
      </c>
      <c r="K38" s="42">
        <f>SUM(K34:K37)</f>
        <v>-15820.92190050158</v>
      </c>
      <c r="L38" s="83">
        <f>IF(ISERROR(K38/E38),"n/a",K38/E38)</f>
        <v>-1.2659746065262557E-2</v>
      </c>
    </row>
    <row r="39" spans="1:12" x14ac:dyDescent="0.6">
      <c r="D39" s="447"/>
      <c r="E39" s="6"/>
      <c r="F39" s="42"/>
      <c r="G39" s="83"/>
      <c r="K39" s="42"/>
      <c r="L39" s="83"/>
    </row>
    <row r="40" spans="1:12" x14ac:dyDescent="0.6">
      <c r="D40" s="14" t="s">
        <v>269</v>
      </c>
      <c r="E40" s="6">
        <f>SUM(E17,E32,E38)</f>
        <v>3180051.3059999999</v>
      </c>
      <c r="F40" s="42">
        <f>SUM(F17,F32,F38)</f>
        <v>38800.51349782091</v>
      </c>
      <c r="G40" s="83">
        <f>IF(ISERROR(F40/E40),"n/a",F40/E40)</f>
        <v>1.2201222484874246E-2</v>
      </c>
      <c r="K40" s="42">
        <f>SUM(K17,K32,K38)</f>
        <v>102689.6033261597</v>
      </c>
      <c r="L40" s="83">
        <f>IF(ISERROR(K40/E40),"n/a",K40/E40)</f>
        <v>3.2291807095190216E-2</v>
      </c>
    </row>
    <row r="41" spans="1:12" hidden="1" x14ac:dyDescent="0.6"/>
    <row r="42" spans="1:12" hidden="1" x14ac:dyDescent="0.6">
      <c r="C42" s="64"/>
      <c r="D42" s="348" t="s">
        <v>191</v>
      </c>
      <c r="E42" s="143">
        <v>0</v>
      </c>
      <c r="F42" s="143">
        <v>0</v>
      </c>
    </row>
    <row r="43" spans="1:12" hidden="1" x14ac:dyDescent="0.6">
      <c r="E43" s="143">
        <v>0</v>
      </c>
      <c r="F43" s="143">
        <v>0</v>
      </c>
    </row>
    <row r="44" spans="1:12" hidden="1" x14ac:dyDescent="0.6">
      <c r="E44" s="143">
        <v>0</v>
      </c>
      <c r="F44" s="143">
        <v>0</v>
      </c>
    </row>
    <row r="45" spans="1:12" hidden="1" x14ac:dyDescent="0.6">
      <c r="E45" s="143">
        <v>0</v>
      </c>
      <c r="F45" s="143">
        <v>0</v>
      </c>
    </row>
    <row r="46" spans="1:12" x14ac:dyDescent="0.6">
      <c r="A46" s="141"/>
      <c r="B46" s="283"/>
      <c r="C46" s="293"/>
      <c r="D46" s="293"/>
      <c r="E46" s="293"/>
    </row>
    <row r="47" spans="1:12" x14ac:dyDescent="0.6">
      <c r="A47" s="11" t="s">
        <v>235</v>
      </c>
    </row>
    <row r="48" spans="1:12" x14ac:dyDescent="0.6">
      <c r="A48" s="24" t="s">
        <v>401</v>
      </c>
    </row>
    <row r="49" spans="1:1" x14ac:dyDescent="0.6">
      <c r="A49" s="12" t="s">
        <v>477</v>
      </c>
    </row>
    <row r="50" spans="1:1" x14ac:dyDescent="0.6">
      <c r="A50" s="25" t="s">
        <v>809</v>
      </c>
    </row>
    <row r="51" spans="1:1" x14ac:dyDescent="0.6">
      <c r="A51" s="25" t="s">
        <v>808</v>
      </c>
    </row>
    <row r="52" spans="1:1" x14ac:dyDescent="0.6">
      <c r="A52" s="24" t="s">
        <v>414</v>
      </c>
    </row>
    <row r="53" spans="1:1" x14ac:dyDescent="0.6">
      <c r="A53" s="25" t="s">
        <v>7</v>
      </c>
    </row>
    <row r="54" spans="1:1" x14ac:dyDescent="0.6">
      <c r="A54" s="25" t="s">
        <v>656</v>
      </c>
    </row>
    <row r="55" spans="1:1" x14ac:dyDescent="0.6">
      <c r="A55" s="25" t="s">
        <v>8</v>
      </c>
    </row>
    <row r="56" spans="1:1" x14ac:dyDescent="0.6">
      <c r="A56" s="25" t="s">
        <v>657</v>
      </c>
    </row>
    <row r="57" spans="1:1" x14ac:dyDescent="0.6">
      <c r="A57" s="12" t="s">
        <v>26</v>
      </c>
    </row>
  </sheetData>
  <phoneticPr fontId="5" type="noConversion"/>
  <printOptions horizontalCentered="1"/>
  <pageMargins left="0.75" right="0.75" top="1" bottom="1" header="0.5" footer="0.5"/>
  <pageSetup scale="70" orientation="landscape" r:id="rId1"/>
  <headerFooter alignWithMargins="0">
    <oddFooter>&amp;L&amp;F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pageSetUpPr fitToPage="1"/>
  </sheetPr>
  <dimension ref="A1:O27"/>
  <sheetViews>
    <sheetView zoomScale="70" workbookViewId="0"/>
  </sheetViews>
  <sheetFormatPr defaultRowHeight="13" x14ac:dyDescent="0.6"/>
  <cols>
    <col min="1" max="1" width="12.54296875" customWidth="1"/>
    <col min="2" max="2" width="15.86328125" customWidth="1"/>
    <col min="3" max="7" width="11.6796875" customWidth="1"/>
    <col min="8" max="8" width="3.6796875" customWidth="1"/>
    <col min="9" max="9" width="11.6796875" customWidth="1"/>
    <col min="10" max="10" width="3.6796875" customWidth="1"/>
    <col min="11" max="14" width="11.6796875" customWidth="1"/>
  </cols>
  <sheetData>
    <row r="1" spans="1:15" ht="15.5" x14ac:dyDescent="0.7">
      <c r="A1" s="158" t="s">
        <v>14</v>
      </c>
      <c r="B1" s="158"/>
    </row>
    <row r="2" spans="1:15" ht="15.5" x14ac:dyDescent="0.7">
      <c r="A2" s="158" t="s">
        <v>787</v>
      </c>
      <c r="B2" s="443"/>
    </row>
    <row r="3" spans="1:15" ht="39" x14ac:dyDescent="0.6">
      <c r="A3" s="445" t="s">
        <v>399</v>
      </c>
      <c r="B3" s="444" t="s">
        <v>348</v>
      </c>
      <c r="C3" s="168" t="s">
        <v>250</v>
      </c>
      <c r="D3" s="189" t="s">
        <v>675</v>
      </c>
      <c r="E3" s="189" t="s">
        <v>39</v>
      </c>
      <c r="F3" s="189" t="s">
        <v>217</v>
      </c>
      <c r="G3" s="8" t="s">
        <v>104</v>
      </c>
      <c r="H3" s="8"/>
      <c r="I3" s="199" t="s">
        <v>404</v>
      </c>
      <c r="J3" s="87"/>
      <c r="K3" s="189" t="s">
        <v>40</v>
      </c>
      <c r="L3" s="189" t="s">
        <v>41</v>
      </c>
      <c r="M3" s="160" t="s">
        <v>218</v>
      </c>
      <c r="N3" s="41" t="s">
        <v>133</v>
      </c>
      <c r="O3" s="11"/>
    </row>
    <row r="4" spans="1:15" x14ac:dyDescent="0.6">
      <c r="A4" s="12" t="s">
        <v>2</v>
      </c>
      <c r="B4" t="s">
        <v>278</v>
      </c>
      <c r="C4" s="6">
        <f>SUM('Table 3.26-REC Detail NonACS'!E4,'Table 3.26-REC Detail NonACS'!E19)</f>
        <v>371374.78039172699</v>
      </c>
      <c r="D4" s="42">
        <f>SUM('Table 3.26-REC Detail NonACS'!F4,'Table 3.26-REC Detail NonACS'!F19)</f>
        <v>23048.410047658937</v>
      </c>
      <c r="E4" s="42">
        <f>SUM('Table 3.27-REC Detail ACS'!F4,'Table 3.27-REC Detail ACS'!F19)</f>
        <v>0</v>
      </c>
      <c r="F4" s="165">
        <f>SUM(D4:E4)</f>
        <v>23048.410047658937</v>
      </c>
      <c r="G4" s="83">
        <f>IF(ISERROR(F4/C4),"n/a",F4/C4)</f>
        <v>6.2062399669001275E-2</v>
      </c>
      <c r="I4" s="29">
        <v>1.3452579828504685</v>
      </c>
      <c r="K4" s="42">
        <f>D4*I4</f>
        <v>31006.057608624131</v>
      </c>
      <c r="L4" s="42">
        <f>E4*I4</f>
        <v>0</v>
      </c>
      <c r="M4" s="42">
        <f>SUM(K4:L4)</f>
        <v>31006.057608624131</v>
      </c>
      <c r="N4" s="83">
        <f>IF(ISERROR(M4/C4),"n/a",M4/C4)</f>
        <v>8.3489938589580232E-2</v>
      </c>
    </row>
    <row r="5" spans="1:15" x14ac:dyDescent="0.6">
      <c r="B5" s="12" t="s">
        <v>431</v>
      </c>
      <c r="C5" s="6">
        <f>SUM('Table 3.26-REC Detail NonACS'!E5,'Table 3.26-REC Detail NonACS'!E12,'Table 3.26-REC Detail NonACS'!E20,'Table 3.26-REC Detail NonACS'!E27,'Table 3.26-REC Detail NonACS'!E34)</f>
        <v>664591.1178091435</v>
      </c>
      <c r="D5" s="42">
        <f>SUM('Table 3.26-REC Detail NonACS'!F5,'Table 3.26-REC Detail NonACS'!F12,'Table 3.26-REC Detail NonACS'!F20,'Table 3.26-REC Detail NonACS'!F27,'Table 3.26-REC Detail NonACS'!F34)</f>
        <v>1191.5064119240287</v>
      </c>
      <c r="E5" s="42">
        <f>SUM('Table 3.27-REC Detail ACS'!F5,'Table 3.27-REC Detail ACS'!F12,'Table 3.27-REC Detail ACS'!F20,'Table 3.27-REC Detail ACS'!F27,'Table 3.27-REC Detail ACS'!F34)</f>
        <v>0</v>
      </c>
      <c r="F5" s="165">
        <f>SUM(D5:E5)</f>
        <v>1191.5064119240287</v>
      </c>
      <c r="G5" s="83">
        <f>IF(ISERROR(F5/C5),"n/a",F5/C5)</f>
        <v>1.7928413124928403E-3</v>
      </c>
      <c r="I5" s="29">
        <v>1.3452579828504685</v>
      </c>
      <c r="K5" s="42">
        <f>D5*I5</f>
        <v>1602.8835122583182</v>
      </c>
      <c r="L5" s="42">
        <f>E5*I5</f>
        <v>0</v>
      </c>
      <c r="M5" s="42">
        <f>SUM(K5:L5)</f>
        <v>1602.8835122583182</v>
      </c>
      <c r="N5" s="83">
        <f>IF(ISERROR(M5/C5),"n/a",M5/C5)</f>
        <v>2.4118340876151047E-3</v>
      </c>
    </row>
    <row r="6" spans="1:15" x14ac:dyDescent="0.6">
      <c r="B6" t="s">
        <v>279</v>
      </c>
      <c r="C6" s="6">
        <f>SUM('Table 3.26-REC Detail NonACS'!E6,'Table 3.26-REC Detail NonACS'!E13,'Table 3.26-REC Detail NonACS'!E21,'Table 3.26-REC Detail NonACS'!E28)</f>
        <v>431818.82732793596</v>
      </c>
      <c r="D6" s="42">
        <f>SUM('Table 3.26-REC Detail NonACS'!F6,'Table 3.26-REC Detail NonACS'!F13,'Table 3.26-REC Detail NonACS'!F21,'Table 3.26-REC Detail NonACS'!F28)</f>
        <v>26799.712646225806</v>
      </c>
      <c r="E6" s="42">
        <f>SUM('Table 3.27-REC Detail ACS'!F6,'Table 3.27-REC Detail ACS'!F13,'Table 3.27-REC Detail ACS'!F21,'Table 3.27-REC Detail ACS'!F28)</f>
        <v>0</v>
      </c>
      <c r="F6" s="165">
        <f>SUM(D6:E6)</f>
        <v>26799.712646225806</v>
      </c>
      <c r="G6" s="83">
        <f>IF(ISERROR(F6/C6),"n/a",F6/C6)</f>
        <v>6.2062399669001261E-2</v>
      </c>
      <c r="I6" s="29">
        <v>1.3452579828504685</v>
      </c>
      <c r="K6" s="42">
        <f>D6*I6</f>
        <v>36052.527375433921</v>
      </c>
      <c r="L6" s="42">
        <f>E6*I6</f>
        <v>0</v>
      </c>
      <c r="M6" s="42">
        <f>SUM(K6:L6)</f>
        <v>36052.527375433921</v>
      </c>
      <c r="N6" s="83">
        <f>IF(ISERROR(M6/C6),"n/a",M6/C6)</f>
        <v>8.3489938589580232E-2</v>
      </c>
    </row>
    <row r="7" spans="1:15" x14ac:dyDescent="0.6">
      <c r="C7" s="6"/>
      <c r="D7" s="42"/>
      <c r="E7" s="42"/>
    </row>
    <row r="8" spans="1:15" x14ac:dyDescent="0.6">
      <c r="A8" s="12" t="s">
        <v>3</v>
      </c>
      <c r="B8" t="s">
        <v>278</v>
      </c>
      <c r="C8" s="6">
        <f>SUM('Table 3.26-REC Detail NonACS'!E8,'Table 3.26-REC Detail NonACS'!E23)</f>
        <v>61416.174470086393</v>
      </c>
      <c r="D8" s="42">
        <f>SUM('Table 3.26-REC Detail NonACS'!F8,'Table 3.26-REC Detail NonACS'!F23)</f>
        <v>1905.8175830518069</v>
      </c>
      <c r="E8" s="42">
        <f>SUM('Table 3.27-REC Detail ACS'!F8,'Table 3.27-REC Detail ACS'!F23)</f>
        <v>3587.1935186691985</v>
      </c>
      <c r="F8" s="165">
        <f>SUM(D8:E8)</f>
        <v>5493.0111017210056</v>
      </c>
      <c r="G8" s="83">
        <f>IF(ISERROR(F8/C8),"n/a",F8/C8)</f>
        <v>8.9439160760435399E-2</v>
      </c>
      <c r="I8" s="29">
        <v>1.3452579828504685</v>
      </c>
      <c r="K8" s="42">
        <f>D8*I8</f>
        <v>2563.8163174572287</v>
      </c>
      <c r="L8" s="42">
        <f>E8*I8</f>
        <v>4825.7007170192001</v>
      </c>
      <c r="M8" s="42">
        <f>SUM(K8:L8)</f>
        <v>7389.5170344764283</v>
      </c>
      <c r="N8" s="83">
        <f>IF(ISERROR(M8/C8),"n/a",M8/C8)</f>
        <v>0.12031874499242208</v>
      </c>
    </row>
    <row r="9" spans="1:15" x14ac:dyDescent="0.6">
      <c r="B9" s="12" t="s">
        <v>373</v>
      </c>
      <c r="C9" s="6">
        <f>SUM('Table 3.26-REC Detail NonACS'!E9,'Table 3.26-REC Detail NonACS'!E24)</f>
        <v>2771.5096924255704</v>
      </c>
      <c r="D9" s="42">
        <f>SUM('Table 3.26-REC Detail NonACS'!F9,'Table 3.26-REC Detail NonACS'!F24)</f>
        <v>86.003271108913282</v>
      </c>
      <c r="E9" s="42">
        <f>SUM('Table 3.27-REC Detail ACS'!F9,'Table 3.27-REC Detail ACS'!F24)</f>
        <v>161.87822982104223</v>
      </c>
      <c r="F9" s="165">
        <f>SUM(D9:E9)</f>
        <v>247.88150092995551</v>
      </c>
      <c r="G9" s="83">
        <f>IF(ISERROR(F9/C9),"n/a",F9/C9)</f>
        <v>8.9439160760435413E-2</v>
      </c>
      <c r="I9" s="29">
        <v>1.3452579828504685</v>
      </c>
      <c r="K9" s="42">
        <f>D9*I9</f>
        <v>115.69658701051866</v>
      </c>
      <c r="L9" s="42">
        <f>E9*I9</f>
        <v>217.76798091645981</v>
      </c>
      <c r="M9" s="42">
        <f>SUM(K9:L9)</f>
        <v>333.46456792697848</v>
      </c>
      <c r="N9" s="83">
        <f>IF(ISERROR(M9/C9),"n/a",M9/C9)</f>
        <v>0.12031874499242212</v>
      </c>
    </row>
    <row r="10" spans="1:15" x14ac:dyDescent="0.6">
      <c r="B10" t="s">
        <v>279</v>
      </c>
      <c r="C10" s="6">
        <f>SUM('Table 3.26-REC Detail NonACS'!E10,'Table 3.26-REC Detail NonACS'!E25)</f>
        <v>84859.514914818035</v>
      </c>
      <c r="D10" s="42">
        <f>SUM('Table 3.26-REC Detail NonACS'!F10,'Table 3.26-REC Detail NonACS'!F25)</f>
        <v>2633.2925651805058</v>
      </c>
      <c r="E10" s="42">
        <f>SUM('Table 3.27-REC Detail ACS'!F10,'Table 3.27-REC Detail ACS'!F25)</f>
        <v>4956.4712313384707</v>
      </c>
      <c r="F10" s="165">
        <f>SUM(D10:E10)</f>
        <v>7589.763796518977</v>
      </c>
      <c r="G10" s="83">
        <f>IF(ISERROR(F10/C10),"n/a",F10/C10)</f>
        <v>8.9439160760435413E-2</v>
      </c>
      <c r="I10" s="29">
        <v>1.3452579828504685</v>
      </c>
      <c r="K10" s="42">
        <f>D10*I10</f>
        <v>3542.457844489863</v>
      </c>
      <c r="L10" s="42">
        <f>E10*I10</f>
        <v>6667.7324907267684</v>
      </c>
      <c r="M10" s="42">
        <f>SUM(K10:L10)</f>
        <v>10210.190335216632</v>
      </c>
      <c r="N10" s="83">
        <f>IF(ISERROR(M10/C10),"n/a",M10/C10)</f>
        <v>0.12031874499242211</v>
      </c>
    </row>
    <row r="11" spans="1:15" x14ac:dyDescent="0.6">
      <c r="C11" s="6"/>
      <c r="D11" s="42"/>
      <c r="E11" s="42"/>
    </row>
    <row r="12" spans="1:15" x14ac:dyDescent="0.6">
      <c r="A12" s="12" t="s">
        <v>4</v>
      </c>
      <c r="B12" s="12" t="s">
        <v>373</v>
      </c>
      <c r="C12" s="6">
        <f>SUM('Table 3.26-REC Detail NonACS'!E15,'Table 3.26-REC Detail NonACS'!E30,'Table 3.26-REC Detail NonACS'!E36)</f>
        <v>53629.378539579622</v>
      </c>
      <c r="D12" s="42">
        <f>SUM('Table 3.26-REC Detail NonACS'!F15,'Table 3.26-REC Detail NonACS'!F30,'Table 3.26-REC Detail NonACS'!F36)</f>
        <v>1664.1839624617751</v>
      </c>
      <c r="E12" s="42">
        <f>SUM('Table 3.27-REC Detail ACS'!F15,'Table 3.27-REC Detail ACS'!F30,'Table 3.27-REC Detail ACS'!F36)</f>
        <v>3132.3826462219313</v>
      </c>
      <c r="F12" s="165">
        <f>SUM(D12:E12)</f>
        <v>4796.5666086837064</v>
      </c>
      <c r="G12" s="83">
        <f>IF(ISERROR(F12/C12),"n/a",F12/C12)</f>
        <v>8.9439160760435399E-2</v>
      </c>
      <c r="I12" s="29">
        <v>1.3452579828504685</v>
      </c>
      <c r="K12" s="42">
        <f>D12*I12</f>
        <v>2238.7567604334272</v>
      </c>
      <c r="L12" s="42">
        <f>E12*I12</f>
        <v>4213.8627601723283</v>
      </c>
      <c r="M12" s="42">
        <f>SUM(K12:L12)</f>
        <v>6452.6195206057555</v>
      </c>
      <c r="N12" s="83">
        <f>IF(ISERROR(M12/C12),"n/a",M12/C12)</f>
        <v>0.12031874499242211</v>
      </c>
    </row>
    <row r="13" spans="1:15" x14ac:dyDescent="0.6">
      <c r="A13" s="283"/>
      <c r="B13" s="325" t="s">
        <v>279</v>
      </c>
      <c r="C13" s="10">
        <f>SUM('Table 3.26-REC Detail NonACS'!E16,'Table 3.26-REC Detail NonACS'!E31,'Table 3.26-REC Detail NonACS'!E37)</f>
        <v>164805.71633134622</v>
      </c>
      <c r="D13" s="174">
        <f>SUM('Table 3.26-REC Detail NonACS'!F16,'Table 3.26-REC Detail NonACS'!F31,'Table 3.26-REC Detail NonACS'!F37)</f>
        <v>5114.1191173460302</v>
      </c>
      <c r="E13" s="174">
        <f>SUM('Table 3.27-REC Detail ACS'!F16,'Table 3.27-REC Detail ACS'!F31,'Table 3.27-REC Detail ACS'!F37)</f>
        <v>9625.9658398519605</v>
      </c>
      <c r="F13" s="326">
        <f>SUM(D13:E13)</f>
        <v>14740.084957197991</v>
      </c>
      <c r="G13" s="172">
        <f>IF(ISERROR(F13/C13),"n/a",F13/C13)</f>
        <v>8.9439160760435413E-2</v>
      </c>
      <c r="H13" s="283"/>
      <c r="I13" s="446">
        <v>1.3452579828504685</v>
      </c>
      <c r="J13" s="283"/>
      <c r="K13" s="174">
        <f>D13*I13</f>
        <v>6879.8095678579393</v>
      </c>
      <c r="L13" s="174">
        <f>E13*I13</f>
        <v>12949.407388706764</v>
      </c>
      <c r="M13" s="174">
        <f>SUM(K13:L13)</f>
        <v>19829.216956564705</v>
      </c>
      <c r="N13" s="172">
        <f>IF(ISERROR(M13/C13),"n/a",M13/C13)</f>
        <v>0.12031874499242214</v>
      </c>
    </row>
    <row r="14" spans="1:15" x14ac:dyDescent="0.6">
      <c r="B14" s="14" t="s">
        <v>428</v>
      </c>
      <c r="C14" s="6">
        <f>SUM(C4:C13)</f>
        <v>1835267.0194770624</v>
      </c>
      <c r="D14" s="42">
        <f>SUM(D4:D13)</f>
        <v>62443.045604957799</v>
      </c>
      <c r="E14" s="42">
        <f>SUM(E4:E13)</f>
        <v>21463.891465902605</v>
      </c>
      <c r="F14" s="42">
        <f>SUM(F4:F13)</f>
        <v>83906.937070860411</v>
      </c>
      <c r="G14" s="83">
        <f>IF(ISERROR(F14/C14),"n/a",F14/C14)</f>
        <v>4.5719198449263636E-2</v>
      </c>
      <c r="K14" s="42">
        <f>SUM(K4:K13)</f>
        <v>84002.005573565359</v>
      </c>
      <c r="L14" s="42">
        <f>SUM(L4:L13)</f>
        <v>28874.471337541519</v>
      </c>
      <c r="M14" s="42">
        <f>SUM(M4:M13)</f>
        <v>112876.47691110687</v>
      </c>
      <c r="N14" s="83">
        <f>IF(ISERROR(M14/C14),"n/a",M14/C14)</f>
        <v>6.150411668339667E-2</v>
      </c>
    </row>
    <row r="15" spans="1:15" x14ac:dyDescent="0.6">
      <c r="B15" s="14"/>
      <c r="C15" s="6"/>
      <c r="D15" s="42"/>
      <c r="E15" s="6"/>
      <c r="G15" s="83"/>
      <c r="M15" s="42"/>
      <c r="N15" s="83"/>
    </row>
    <row r="16" spans="1:15" x14ac:dyDescent="0.6">
      <c r="B16" s="14" t="s">
        <v>482</v>
      </c>
      <c r="C16" s="6">
        <f>'Table 3.26-REC Detail NonACS'!E45</f>
        <v>49772.678765646408</v>
      </c>
      <c r="D16" s="42">
        <f>'Table 3.26-REC Detail NonACS'!F45</f>
        <v>15639.166757049548</v>
      </c>
      <c r="E16" s="42">
        <f>'Table 3.27-REC Detail ACS'!F45</f>
        <v>0</v>
      </c>
      <c r="F16" s="165">
        <f>SUM(D16:E16)</f>
        <v>15639.166757049548</v>
      </c>
      <c r="G16" s="83">
        <f>IF(ISERROR(F16/C16),"n/a",F16/C16)</f>
        <v>0.31421187576996268</v>
      </c>
      <c r="I16" s="29">
        <v>1.3452579828504685</v>
      </c>
      <c r="K16" s="42">
        <f>D16*I16</f>
        <v>21038.713925050579</v>
      </c>
      <c r="L16" s="42">
        <f>E16*I16</f>
        <v>0</v>
      </c>
      <c r="M16" s="42">
        <f>SUM(K16:L16)</f>
        <v>21038.713925050579</v>
      </c>
      <c r="N16" s="83">
        <f>IF(ISERROR(M16/C16),"n/a",M16/C16)</f>
        <v>0.42269603418596202</v>
      </c>
    </row>
    <row r="17" spans="1:14" x14ac:dyDescent="0.6">
      <c r="B17" s="14"/>
      <c r="C17" s="6"/>
      <c r="D17" s="42"/>
      <c r="E17" s="6"/>
      <c r="G17" s="83"/>
      <c r="M17" s="42"/>
      <c r="N17" s="83"/>
    </row>
    <row r="18" spans="1:14" x14ac:dyDescent="0.6">
      <c r="B18" s="14" t="s">
        <v>429</v>
      </c>
      <c r="C18" s="6">
        <f>SUM(C14,C16)</f>
        <v>1885039.6982427088</v>
      </c>
      <c r="D18" s="42">
        <f>SUM(D14,D16)</f>
        <v>78082.212362007354</v>
      </c>
      <c r="E18" s="42">
        <f>SUM(E14,E16)</f>
        <v>21463.891465902605</v>
      </c>
      <c r="F18" s="165">
        <f>SUM(D18:E18)</f>
        <v>99546.103827909959</v>
      </c>
      <c r="G18" s="83">
        <f>IF(ISERROR(F18/C18),"n/a",F18/C18)</f>
        <v>5.2808492001897814E-2</v>
      </c>
      <c r="K18" s="42">
        <f>SUM(K14,K16)</f>
        <v>105040.71949861594</v>
      </c>
      <c r="L18" s="42">
        <f>SUM(L14,L16)</f>
        <v>28874.471337541519</v>
      </c>
      <c r="M18" s="42">
        <f>SUM(K18:L18)</f>
        <v>133915.19083615748</v>
      </c>
      <c r="N18" s="83">
        <f>IF(ISERROR(M18/C18),"n/a",M18/C18)</f>
        <v>7.1041045427848171E-2</v>
      </c>
    </row>
    <row r="19" spans="1:14" hidden="1" x14ac:dyDescent="0.6">
      <c r="B19" s="14"/>
      <c r="C19" s="6"/>
      <c r="D19" s="6"/>
      <c r="E19" s="6"/>
      <c r="F19" s="42"/>
      <c r="G19" s="83"/>
      <c r="K19" s="240"/>
      <c r="L19" s="240"/>
      <c r="M19" s="42"/>
      <c r="N19" s="83"/>
    </row>
    <row r="20" spans="1:14" hidden="1" x14ac:dyDescent="0.6">
      <c r="B20" s="14" t="s">
        <v>191</v>
      </c>
      <c r="C20" s="143">
        <f>C18-'Table 3.26-REC Detail NonACS'!E47</f>
        <v>0</v>
      </c>
      <c r="D20" s="143">
        <f>D18-'Table 3.26-REC Detail NonACS'!F47</f>
        <v>0</v>
      </c>
      <c r="E20" s="143">
        <f>E18-'Table 3.27-REC Detail ACS'!F47</f>
        <v>0</v>
      </c>
      <c r="F20" s="240"/>
      <c r="G20" s="240"/>
      <c r="J20" s="14" t="s">
        <v>191</v>
      </c>
      <c r="K20" s="143">
        <f>K18-'Table 3.26-REC Detail NonACS'!K47</f>
        <v>0</v>
      </c>
      <c r="L20" s="143">
        <f>L18-'Table 3.27-REC Detail ACS'!K47</f>
        <v>0</v>
      </c>
      <c r="M20" s="240"/>
      <c r="N20" s="240"/>
    </row>
    <row r="21" spans="1:14" x14ac:dyDescent="0.6">
      <c r="A21" s="283"/>
      <c r="B21" s="293"/>
      <c r="C21" s="293"/>
      <c r="D21" s="38"/>
      <c r="E21" s="38"/>
    </row>
    <row r="22" spans="1:14" x14ac:dyDescent="0.6">
      <c r="A22" s="11" t="s">
        <v>235</v>
      </c>
      <c r="B22" s="64"/>
      <c r="C22" s="64"/>
      <c r="D22" s="64"/>
      <c r="E22" s="64"/>
    </row>
    <row r="23" spans="1:14" x14ac:dyDescent="0.6">
      <c r="A23" s="25" t="s">
        <v>658</v>
      </c>
      <c r="B23" s="64"/>
      <c r="C23" s="64"/>
      <c r="D23" s="64"/>
      <c r="E23" s="64"/>
    </row>
    <row r="24" spans="1:14" x14ac:dyDescent="0.6">
      <c r="A24" s="25" t="s">
        <v>36</v>
      </c>
      <c r="B24" s="64"/>
      <c r="C24" s="64"/>
      <c r="D24" s="64"/>
      <c r="E24" s="64"/>
    </row>
    <row r="25" spans="1:14" x14ac:dyDescent="0.6">
      <c r="A25" s="25" t="s">
        <v>808</v>
      </c>
    </row>
    <row r="26" spans="1:14" x14ac:dyDescent="0.6">
      <c r="A26" s="12" t="s">
        <v>25</v>
      </c>
    </row>
    <row r="27" spans="1:14" x14ac:dyDescent="0.6">
      <c r="A27" s="12" t="s">
        <v>42</v>
      </c>
    </row>
  </sheetData>
  <phoneticPr fontId="5" type="noConversion"/>
  <printOptions horizontalCentered="1"/>
  <pageMargins left="0.75" right="0.75" top="1" bottom="1" header="0.5" footer="0.5"/>
  <pageSetup scale="81" orientation="landscape" r:id="rId1"/>
  <headerFooter alignWithMargins="0">
    <oddFooter>&amp;L&amp;F</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pageSetUpPr fitToPage="1"/>
  </sheetPr>
  <dimension ref="A1:M67"/>
  <sheetViews>
    <sheetView zoomScale="70" workbookViewId="0"/>
  </sheetViews>
  <sheetFormatPr defaultRowHeight="13" x14ac:dyDescent="0.6"/>
  <cols>
    <col min="1" max="1" width="27.08984375" customWidth="1"/>
    <col min="2" max="2" width="9.6796875" customWidth="1"/>
    <col min="3" max="3" width="25.6796875" customWidth="1"/>
    <col min="4" max="4" width="18.31640625" customWidth="1"/>
    <col min="5" max="7" width="11.6796875" customWidth="1"/>
    <col min="8" max="8" width="3.6796875" customWidth="1"/>
    <col min="9" max="9" width="11.6796875" customWidth="1"/>
    <col min="10" max="10" width="3.6796875" customWidth="1"/>
    <col min="11" max="12" width="11.6796875" customWidth="1"/>
  </cols>
  <sheetData>
    <row r="1" spans="1:13" ht="15.5" x14ac:dyDescent="0.7">
      <c r="A1" s="158" t="s">
        <v>673</v>
      </c>
      <c r="B1" s="158"/>
      <c r="C1" s="158"/>
      <c r="D1" s="158"/>
    </row>
    <row r="2" spans="1:13" ht="15.5" x14ac:dyDescent="0.7">
      <c r="A2" s="158" t="s">
        <v>787</v>
      </c>
      <c r="B2" s="443"/>
      <c r="C2" s="443"/>
      <c r="D2" s="443"/>
    </row>
    <row r="3" spans="1:13" ht="39" x14ac:dyDescent="0.6">
      <c r="A3" s="444" t="s">
        <v>396</v>
      </c>
      <c r="B3" s="445" t="s">
        <v>399</v>
      </c>
      <c r="C3" s="444" t="s">
        <v>397</v>
      </c>
      <c r="D3" s="444" t="s">
        <v>348</v>
      </c>
      <c r="E3" s="168" t="s">
        <v>432</v>
      </c>
      <c r="F3" s="189" t="s">
        <v>403</v>
      </c>
      <c r="G3" s="8" t="s">
        <v>104</v>
      </c>
      <c r="H3" s="8"/>
      <c r="I3" s="199" t="s">
        <v>404</v>
      </c>
      <c r="J3" s="87"/>
      <c r="K3" s="160" t="s">
        <v>415</v>
      </c>
      <c r="L3" s="41" t="s">
        <v>133</v>
      </c>
      <c r="M3" s="11"/>
    </row>
    <row r="4" spans="1:13" x14ac:dyDescent="0.6">
      <c r="A4" s="25" t="s">
        <v>410</v>
      </c>
      <c r="B4" t="s">
        <v>407</v>
      </c>
      <c r="C4" t="s">
        <v>398</v>
      </c>
      <c r="D4" t="s">
        <v>278</v>
      </c>
      <c r="E4" s="6">
        <f>'Table 3.28-REC Volume'!H4</f>
        <v>347877.7729224065</v>
      </c>
      <c r="F4" s="42">
        <v>21590.129379072463</v>
      </c>
      <c r="G4" s="83">
        <f>IF(ISERROR(F4/E4),"n/a",F4/E4)</f>
        <v>6.2062399669001282E-2</v>
      </c>
      <c r="I4" s="29">
        <v>1.3452579828504685</v>
      </c>
      <c r="K4" s="42">
        <f>F4*I4</f>
        <v>29044.29389797166</v>
      </c>
      <c r="L4" s="83">
        <f>IF(ISERROR(K4/E4),"n/a",K4/E4)</f>
        <v>8.3489938589580245E-2</v>
      </c>
    </row>
    <row r="5" spans="1:13" x14ac:dyDescent="0.6">
      <c r="D5" t="s">
        <v>373</v>
      </c>
      <c r="E5" s="6">
        <f>'Table 3.28-REC Volume'!H5</f>
        <v>124576.99708455709</v>
      </c>
      <c r="F5" s="42">
        <v>7731.5473826257876</v>
      </c>
      <c r="G5" s="83">
        <f>IF(ISERROR(F5/E5),"n/a",F5/E5)</f>
        <v>6.2062399669001261E-2</v>
      </c>
      <c r="I5" s="29">
        <v>1.3452579828504685</v>
      </c>
      <c r="K5" s="42">
        <f>F5*I5</f>
        <v>10400.925836263987</v>
      </c>
      <c r="L5" s="83">
        <f>IF(ISERROR(K5/E5),"n/a",K5/E5)</f>
        <v>8.3489938589580232E-2</v>
      </c>
    </row>
    <row r="6" spans="1:13" x14ac:dyDescent="0.6">
      <c r="D6" t="s">
        <v>279</v>
      </c>
      <c r="E6" s="6">
        <f>'Table 3.28-REC Volume'!H6</f>
        <v>7266.7465727709896</v>
      </c>
      <c r="F6" s="42">
        <v>450.99173009265837</v>
      </c>
      <c r="G6" s="83">
        <f>IF(ISERROR(F6/E6),"n/a",F6/E6)</f>
        <v>6.2062399669001268E-2</v>
      </c>
      <c r="I6" s="29">
        <v>1.3452579828504685</v>
      </c>
      <c r="K6" s="42">
        <f>F6*I6</f>
        <v>606.70022510669253</v>
      </c>
      <c r="L6" s="83">
        <f>IF(ISERROR(K6/E6),"n/a",K6/E6)</f>
        <v>8.3489938589580232E-2</v>
      </c>
    </row>
    <row r="7" spans="1:13" x14ac:dyDescent="0.6">
      <c r="E7" s="6"/>
    </row>
    <row r="8" spans="1:13" x14ac:dyDescent="0.6">
      <c r="B8" t="s">
        <v>476</v>
      </c>
      <c r="C8" t="s">
        <v>398</v>
      </c>
      <c r="D8" t="s">
        <v>278</v>
      </c>
      <c r="E8" s="6">
        <f>'Table 3.28-REC Volume'!H8</f>
        <v>57530.35242062324</v>
      </c>
      <c r="F8" s="42">
        <v>1785.2358625136069</v>
      </c>
      <c r="G8" s="83">
        <f>IF(ISERROR(F8/E8),"n/a",F8/E8)</f>
        <v>3.1031199834500631E-2</v>
      </c>
      <c r="I8" s="29">
        <v>1.3452579828504685</v>
      </c>
      <c r="K8" s="42">
        <f>F8*I8</f>
        <v>2401.6027953173711</v>
      </c>
      <c r="L8" s="83">
        <f>IF(ISERROR(K8/E8),"n/a",K8/E8)</f>
        <v>4.1744969294790109E-2</v>
      </c>
    </row>
    <row r="9" spans="1:13" x14ac:dyDescent="0.6">
      <c r="D9" t="s">
        <v>373</v>
      </c>
      <c r="E9" s="6">
        <f>'Table 3.28-REC Volume'!H9</f>
        <v>2596.1553404808133</v>
      </c>
      <c r="F9" s="42">
        <v>80.561815171866172</v>
      </c>
      <c r="G9" s="83">
        <f>IF(ISERROR(F9/E9),"n/a",F9/E9)</f>
        <v>3.1031199834500641E-2</v>
      </c>
      <c r="I9" s="29">
        <v>1.3452579828504685</v>
      </c>
      <c r="K9" s="42">
        <f>F9*I9</f>
        <v>108.37642497287696</v>
      </c>
      <c r="L9" s="83">
        <f>IF(ISERROR(K9/E9),"n/a",K9/E9)</f>
        <v>4.174496929479013E-2</v>
      </c>
    </row>
    <row r="10" spans="1:13" x14ac:dyDescent="0.6">
      <c r="D10" t="s">
        <v>279</v>
      </c>
      <c r="E10" s="6">
        <f>'Table 3.28-REC Volume'!H10</f>
        <v>79490.424817495936</v>
      </c>
      <c r="F10" s="42">
        <v>2466.6832574410651</v>
      </c>
      <c r="G10" s="83">
        <f>IF(ISERROR(F10/E10),"n/a",F10/E10)</f>
        <v>3.1031199834500634E-2</v>
      </c>
      <c r="I10" s="29">
        <v>1.3452579828504685</v>
      </c>
      <c r="K10" s="42">
        <f>F10*I10</f>
        <v>3318.3253432361898</v>
      </c>
      <c r="L10" s="83">
        <f>IF(ISERROR(K10/E10),"n/a",K10/E10)</f>
        <v>4.1744969294790116E-2</v>
      </c>
    </row>
    <row r="11" spans="1:13" x14ac:dyDescent="0.6">
      <c r="E11" s="6"/>
    </row>
    <row r="12" spans="1:13" x14ac:dyDescent="0.6">
      <c r="B12" t="s">
        <v>407</v>
      </c>
      <c r="C12" s="12" t="s">
        <v>48</v>
      </c>
      <c r="D12" t="s">
        <v>373</v>
      </c>
      <c r="E12" s="6">
        <f>'Table 3.28-REC Volume'!H12</f>
        <v>13260.688174239525</v>
      </c>
      <c r="F12" s="42">
        <v>822.99012935565213</v>
      </c>
      <c r="G12" s="83">
        <f>IF(ISERROR(F12/E12),"n/a",F12/E12)</f>
        <v>6.2062399669001268E-2</v>
      </c>
      <c r="I12" s="29">
        <v>1.3452579828504685</v>
      </c>
      <c r="K12" s="42">
        <f>F12*I12</f>
        <v>1107.1340413228306</v>
      </c>
      <c r="L12" s="83">
        <f>IF(ISERROR(K12/E12),"n/a",K12/E12)</f>
        <v>8.3489938589580218E-2</v>
      </c>
    </row>
    <row r="13" spans="1:13" x14ac:dyDescent="0.6">
      <c r="C13" s="12" t="s">
        <v>655</v>
      </c>
      <c r="D13" t="s">
        <v>279</v>
      </c>
      <c r="E13" s="6">
        <f>'Table 3.28-REC Volume'!H13</f>
        <v>424061.25664454798</v>
      </c>
      <c r="F13" s="42">
        <v>26318.259194012855</v>
      </c>
      <c r="G13" s="83">
        <f>IF(ISERROR(F13/E13),"n/a",F13/E13)</f>
        <v>6.2062399669001268E-2</v>
      </c>
      <c r="I13" s="29">
        <v>1.3452579828504685</v>
      </c>
      <c r="K13" s="42">
        <f>F13*I13</f>
        <v>35404.848275473531</v>
      </c>
      <c r="L13" s="83">
        <f>IF(ISERROR(K13/E13),"n/a",K13/E13)</f>
        <v>8.3489938589580232E-2</v>
      </c>
    </row>
    <row r="14" spans="1:13" x14ac:dyDescent="0.6">
      <c r="E14" s="6"/>
    </row>
    <row r="15" spans="1:13" x14ac:dyDescent="0.6">
      <c r="B15" t="s">
        <v>400</v>
      </c>
      <c r="C15" s="12" t="s">
        <v>48</v>
      </c>
      <c r="D15" t="s">
        <v>373</v>
      </c>
      <c r="E15" s="6">
        <f>'Table 3.28-REC Volume'!H15</f>
        <v>2299.88626492096</v>
      </c>
      <c r="F15" s="42">
        <v>71.368230283385572</v>
      </c>
      <c r="G15" s="83">
        <f>IF(ISERROR(F15/E15),"n/a",F15/E15)</f>
        <v>3.1031199834500631E-2</v>
      </c>
      <c r="I15" s="29">
        <v>1.3452579828504685</v>
      </c>
      <c r="K15" s="42">
        <f>F15*I15</f>
        <v>96.008681510635</v>
      </c>
      <c r="L15" s="83">
        <f>IF(ISERROR(K15/E15),"n/a",K15/E15)</f>
        <v>4.1744969294790116E-2</v>
      </c>
    </row>
    <row r="16" spans="1:13" x14ac:dyDescent="0.6">
      <c r="B16" s="283"/>
      <c r="C16" s="325" t="s">
        <v>48</v>
      </c>
      <c r="D16" s="283" t="s">
        <v>279</v>
      </c>
      <c r="E16" s="10">
        <f>'Table 3.28-REC Volume'!H16</f>
        <v>13032.225393912704</v>
      </c>
      <c r="F16" s="174">
        <v>404.40559048675891</v>
      </c>
      <c r="G16" s="172">
        <f>IF(ISERROR(F16/E16),"n/a",F16/E16)</f>
        <v>3.1031199834500638E-2</v>
      </c>
      <c r="H16" s="283"/>
      <c r="I16" s="446">
        <v>1.3452579828504685</v>
      </c>
      <c r="J16" s="283"/>
      <c r="K16" s="174">
        <f>F16*I16</f>
        <v>544.02984891166989</v>
      </c>
      <c r="L16" s="172">
        <f>IF(ISERROR(K16/E16),"n/a",K16/E16)</f>
        <v>4.1744969294790116E-2</v>
      </c>
    </row>
    <row r="17" spans="1:12" x14ac:dyDescent="0.6">
      <c r="D17" s="447" t="s">
        <v>406</v>
      </c>
      <c r="E17" s="6">
        <f>SUM(E4:E16)</f>
        <v>1071992.5056359558</v>
      </c>
      <c r="F17" s="42">
        <f>SUM(F4:F16)</f>
        <v>61722.172571056093</v>
      </c>
      <c r="G17" s="83">
        <f>IF(ISERROR(F17/E17),"n/a",F17/E17)</f>
        <v>5.757705603962187E-2</v>
      </c>
      <c r="K17" s="42">
        <f>SUM(K4:K16)</f>
        <v>83032.245370087432</v>
      </c>
      <c r="L17" s="83">
        <f>IF(ISERROR(K17/E17),"n/a",K17/E17)</f>
        <v>7.7455994266330097E-2</v>
      </c>
    </row>
    <row r="18" spans="1:12" ht="5.15" customHeight="1" x14ac:dyDescent="0.6"/>
    <row r="19" spans="1:12" x14ac:dyDescent="0.6">
      <c r="A19" s="25" t="s">
        <v>411</v>
      </c>
      <c r="B19" t="s">
        <v>407</v>
      </c>
      <c r="C19" t="s">
        <v>398</v>
      </c>
      <c r="D19" t="s">
        <v>278</v>
      </c>
      <c r="E19" s="6">
        <f>'Table 3.28-REC Volume'!H19</f>
        <v>23497.007469320466</v>
      </c>
      <c r="F19" s="42">
        <v>1458.2806685864748</v>
      </c>
      <c r="G19" s="83">
        <f>IF(ISERROR(F19/E19),"n/a",F19/E19)</f>
        <v>6.2062399669001268E-2</v>
      </c>
      <c r="I19" s="29">
        <v>1.3452579828504685</v>
      </c>
      <c r="K19" s="42">
        <f>F19*I19</f>
        <v>1961.7637106524737</v>
      </c>
      <c r="L19" s="83">
        <f>IF(ISERROR(K19/E19),"n/a",K19/E19)</f>
        <v>8.3489938589580232E-2</v>
      </c>
    </row>
    <row r="20" spans="1:12" x14ac:dyDescent="0.6">
      <c r="D20" t="s">
        <v>373</v>
      </c>
      <c r="E20" s="6">
        <f>'Table 3.28-REC Volume'!H20</f>
        <v>8414.4112065885147</v>
      </c>
      <c r="F20" s="42">
        <v>522.21855128261961</v>
      </c>
      <c r="G20" s="83">
        <f>IF(ISERROR(F20/E20),"n/a",F20/E20)</f>
        <v>6.2062399669001268E-2</v>
      </c>
      <c r="I20" s="29">
        <v>1.3452579828504685</v>
      </c>
      <c r="K20" s="42">
        <f>F20*I20</f>
        <v>702.51867490555082</v>
      </c>
      <c r="L20" s="83">
        <f>IF(ISERROR(K20/E20),"n/a",K20/E20)</f>
        <v>8.3489938589580232E-2</v>
      </c>
    </row>
    <row r="21" spans="1:12" x14ac:dyDescent="0.6">
      <c r="D21" t="s">
        <v>279</v>
      </c>
      <c r="E21" s="6">
        <f>'Table 3.28-REC Volume'!H21</f>
        <v>490.82411061698843</v>
      </c>
      <c r="F21" s="42">
        <v>30.461722120293626</v>
      </c>
      <c r="G21" s="83">
        <f>IF(ISERROR(F21/E21),"n/a",F21/E21)</f>
        <v>6.2062399669001268E-2</v>
      </c>
      <c r="I21" s="29">
        <v>1.3452579828504685</v>
      </c>
      <c r="K21" s="42">
        <f>F21*I21</f>
        <v>40.978874853697697</v>
      </c>
      <c r="L21" s="83">
        <f>IF(ISERROR(K21/E21),"n/a",K21/E21)</f>
        <v>8.3489938589580232E-2</v>
      </c>
    </row>
    <row r="22" spans="1:12" x14ac:dyDescent="0.6">
      <c r="E22" s="6"/>
    </row>
    <row r="23" spans="1:12" x14ac:dyDescent="0.6">
      <c r="B23" t="s">
        <v>476</v>
      </c>
      <c r="C23" t="s">
        <v>398</v>
      </c>
      <c r="D23" t="s">
        <v>278</v>
      </c>
      <c r="E23" s="6">
        <f>'Table 3.28-REC Volume'!H23</f>
        <v>3885.8220494631523</v>
      </c>
      <c r="F23" s="42">
        <v>120.58172053819989</v>
      </c>
      <c r="G23" s="83">
        <f>IF(ISERROR(F23/E23),"n/a",F23/E23)</f>
        <v>3.1031199834500634E-2</v>
      </c>
      <c r="I23" s="29">
        <v>1.3452579828504685</v>
      </c>
      <c r="K23" s="42">
        <f>F23*I23</f>
        <v>162.2135221398577</v>
      </c>
      <c r="L23" s="83">
        <f>IF(ISERROR(K23/E23),"n/a",K23/E23)</f>
        <v>4.1744969294790116E-2</v>
      </c>
    </row>
    <row r="24" spans="1:12" x14ac:dyDescent="0.6">
      <c r="D24" t="s">
        <v>373</v>
      </c>
      <c r="E24" s="6">
        <f>'Table 3.28-REC Volume'!H24</f>
        <v>175.3543519447569</v>
      </c>
      <c r="F24" s="42">
        <v>5.4414559370471052</v>
      </c>
      <c r="G24" s="83">
        <f>IF(ISERROR(F24/E24),"n/a",F24/E24)</f>
        <v>3.1031199834500627E-2</v>
      </c>
      <c r="I24" s="29">
        <v>1.3452579828504685</v>
      </c>
      <c r="K24" s="42">
        <f>F24*I24</f>
        <v>7.3201620376416949</v>
      </c>
      <c r="L24" s="83">
        <f>IF(ISERROR(K24/E24),"n/a",K24/E24)</f>
        <v>4.1744969294790109E-2</v>
      </c>
    </row>
    <row r="25" spans="1:12" x14ac:dyDescent="0.6">
      <c r="D25" t="s">
        <v>279</v>
      </c>
      <c r="E25" s="6">
        <f>'Table 3.28-REC Volume'!H25</f>
        <v>5369.0900973221005</v>
      </c>
      <c r="F25" s="42">
        <v>166.60930773944057</v>
      </c>
      <c r="G25" s="83">
        <f>IF(ISERROR(F25/E25),"n/a",F25/E25)</f>
        <v>3.1031199834500634E-2</v>
      </c>
      <c r="I25" s="29">
        <v>1.3452579828504685</v>
      </c>
      <c r="K25" s="42">
        <f>F25*I25</f>
        <v>224.13250125367276</v>
      </c>
      <c r="L25" s="83">
        <f>IF(ISERROR(K25/E25),"n/a",K25/E25)</f>
        <v>4.1744969294790116E-2</v>
      </c>
    </row>
    <row r="26" spans="1:12" x14ac:dyDescent="0.6">
      <c r="E26" s="6"/>
    </row>
    <row r="27" spans="1:12" x14ac:dyDescent="0.6">
      <c r="B27" t="s">
        <v>407</v>
      </c>
      <c r="C27" s="12" t="s">
        <v>48</v>
      </c>
      <c r="D27" s="12" t="s">
        <v>433</v>
      </c>
      <c r="E27" s="6">
        <f>'Table 3.28-REC Volume'!H27</f>
        <v>895.67806089161809</v>
      </c>
      <c r="F27" s="42">
        <v>-996.54798435683631</v>
      </c>
      <c r="G27" s="83">
        <f>IF(ISERROR(F27/E27),"n/a",F27/E27)</f>
        <v>-1.1126185042031793</v>
      </c>
      <c r="I27" s="29">
        <v>1.3452579828504685</v>
      </c>
      <c r="K27" s="42">
        <f>F27*I27</f>
        <v>-1340.6141312495779</v>
      </c>
      <c r="L27" s="83">
        <f>IF(ISERROR(K27/E27),"n/a",K27/E27)</f>
        <v>-1.4967589246464745</v>
      </c>
    </row>
    <row r="28" spans="1:12" x14ac:dyDescent="0.6">
      <c r="C28" s="12" t="s">
        <v>655</v>
      </c>
      <c r="D28" t="s">
        <v>279</v>
      </c>
      <c r="E28" s="6">
        <f>'Table 3.28-REC Volume'!H28</f>
        <v>0</v>
      </c>
      <c r="F28" s="42">
        <v>0</v>
      </c>
      <c r="G28" s="83" t="str">
        <f>IF(ISERROR(F28/E28),"n/a",F28/E28)</f>
        <v>n/a</v>
      </c>
      <c r="I28" s="29">
        <v>1.3452579828504685</v>
      </c>
      <c r="K28" s="42">
        <f>F28*I28</f>
        <v>0</v>
      </c>
      <c r="L28" s="83" t="str">
        <f>IF(ISERROR(K28/E28),"n/a",K28/E28)</f>
        <v>n/a</v>
      </c>
    </row>
    <row r="29" spans="1:12" x14ac:dyDescent="0.6">
      <c r="E29" s="6"/>
    </row>
    <row r="30" spans="1:12" x14ac:dyDescent="0.6">
      <c r="B30" t="s">
        <v>400</v>
      </c>
      <c r="C30" s="12" t="s">
        <v>48</v>
      </c>
      <c r="D30" t="s">
        <v>373</v>
      </c>
      <c r="E30" s="6">
        <f>'Table 3.28-REC Volume'!H30</f>
        <v>155.34319508676674</v>
      </c>
      <c r="F30" s="42">
        <v>4.8204857296672756</v>
      </c>
      <c r="G30" s="83">
        <f>IF(ISERROR(F30/E30),"n/a",F30/E30)</f>
        <v>3.1031199834500634E-2</v>
      </c>
      <c r="I30" s="29">
        <v>1.3452579828504685</v>
      </c>
      <c r="K30" s="42">
        <f>F30*I30</f>
        <v>6.4847969090516679</v>
      </c>
      <c r="L30" s="83">
        <f>IF(ISERROR(K30/E30),"n/a",K30/E30)</f>
        <v>4.1744969294790116E-2</v>
      </c>
    </row>
    <row r="31" spans="1:12" x14ac:dyDescent="0.6">
      <c r="B31" s="283"/>
      <c r="C31" s="325" t="s">
        <v>48</v>
      </c>
      <c r="D31" s="283" t="s">
        <v>279</v>
      </c>
      <c r="E31" s="10">
        <f>'Table 3.28-REC Volume'!H31</f>
        <v>880.24680292217488</v>
      </c>
      <c r="F31" s="174">
        <v>27.315114445158301</v>
      </c>
      <c r="G31" s="172">
        <f>IF(ISERROR(F31/E31),"n/a",F31/E31)</f>
        <v>3.1031199834500627E-2</v>
      </c>
      <c r="H31" s="283"/>
      <c r="I31" s="446">
        <v>1.3452579828504685</v>
      </c>
      <c r="J31" s="283"/>
      <c r="K31" s="174">
        <f>F31*I31</f>
        <v>36.745875759823349</v>
      </c>
      <c r="L31" s="172">
        <f>IF(ISERROR(K31/E31),"n/a",K31/E31)</f>
        <v>4.1744969294790109E-2</v>
      </c>
    </row>
    <row r="32" spans="1:12" x14ac:dyDescent="0.6">
      <c r="D32" s="447" t="s">
        <v>405</v>
      </c>
      <c r="E32" s="6">
        <f>SUM(E19:E31)</f>
        <v>43763.777344156537</v>
      </c>
      <c r="F32" s="42">
        <f>SUM(F19:F31)</f>
        <v>1339.1810420220647</v>
      </c>
      <c r="G32" s="83">
        <f>IF(ISERROR(F32/E32),"n/a",F32/E32)</f>
        <v>3.0600216052896905E-2</v>
      </c>
      <c r="K32" s="42">
        <f>SUM(K19:K31)</f>
        <v>1801.5439872621912</v>
      </c>
      <c r="L32" s="83">
        <f>IF(ISERROR(K32/E32),"n/a",K32/E32)</f>
        <v>4.1165184922108612E-2</v>
      </c>
    </row>
    <row r="33" spans="1:12" ht="5.15" customHeight="1" x14ac:dyDescent="0.6"/>
    <row r="34" spans="1:12" x14ac:dyDescent="0.6">
      <c r="A34" s="25" t="s">
        <v>412</v>
      </c>
      <c r="B34" t="s">
        <v>407</v>
      </c>
      <c r="C34" s="12" t="s">
        <v>409</v>
      </c>
      <c r="D34" s="12" t="s">
        <v>433</v>
      </c>
      <c r="E34" s="6">
        <f>'Table 3.28-REC Volume'!H34</f>
        <v>517443.34328286676</v>
      </c>
      <c r="F34" s="42">
        <v>-6888.7016669831946</v>
      </c>
      <c r="G34" s="83">
        <f>IF(ISERROR(F34/E34),"n/a",F34/E34)</f>
        <v>-1.3312958329463716E-2</v>
      </c>
      <c r="I34" s="29">
        <v>1.3452579828504685</v>
      </c>
      <c r="K34" s="42">
        <f>F34*I34</f>
        <v>-9267.0809089844715</v>
      </c>
      <c r="L34" s="83">
        <f>IF(ISERROR(K34/E34),"n/a",K34/E34)</f>
        <v>-1.7909363468066701E-2</v>
      </c>
    </row>
    <row r="35" spans="1:12" x14ac:dyDescent="0.6">
      <c r="E35" s="6"/>
    </row>
    <row r="36" spans="1:12" x14ac:dyDescent="0.6">
      <c r="B36" t="s">
        <v>400</v>
      </c>
      <c r="C36" t="s">
        <v>409</v>
      </c>
      <c r="D36" t="s">
        <v>373</v>
      </c>
      <c r="E36" s="6">
        <f>'Table 3.28-REC Volume'!H36</f>
        <v>51174.149079571893</v>
      </c>
      <c r="F36" s="42">
        <v>1587.9952464487221</v>
      </c>
      <c r="G36" s="83">
        <f>IF(ISERROR(F36/E36),"n/a",F36/E36)</f>
        <v>3.1031199834500634E-2</v>
      </c>
      <c r="I36" s="29">
        <v>1.3452579828504685</v>
      </c>
      <c r="K36" s="42">
        <f>F36*I36</f>
        <v>2136.2632820137405</v>
      </c>
      <c r="L36" s="83">
        <f>IF(ISERROR(K36/E36),"n/a",K36/E36)</f>
        <v>4.1744969294790116E-2</v>
      </c>
    </row>
    <row r="37" spans="1:12" x14ac:dyDescent="0.6">
      <c r="B37" s="283"/>
      <c r="C37" s="283"/>
      <c r="D37" s="283" t="s">
        <v>279</v>
      </c>
      <c r="E37" s="10">
        <f>'Table 3.28-REC Volume'!H37</f>
        <v>150893.24413451133</v>
      </c>
      <c r="F37" s="174">
        <v>4682.3984124141125</v>
      </c>
      <c r="G37" s="172">
        <f>IF(ISERROR(F37/E37),"n/a",F37/E37)</f>
        <v>3.1031199834500638E-2</v>
      </c>
      <c r="H37" s="283"/>
      <c r="I37" s="446">
        <v>1.3452579828504685</v>
      </c>
      <c r="J37" s="283"/>
      <c r="K37" s="174">
        <f>F37*I37</f>
        <v>6299.0338431864448</v>
      </c>
      <c r="L37" s="172">
        <f>IF(ISERROR(K37/E37),"n/a",K37/E37)</f>
        <v>4.1744969294790116E-2</v>
      </c>
    </row>
    <row r="38" spans="1:12" x14ac:dyDescent="0.6">
      <c r="D38" s="447" t="s">
        <v>413</v>
      </c>
      <c r="E38" s="6">
        <f>SUM(E34:E37)</f>
        <v>719510.73649695003</v>
      </c>
      <c r="F38" s="42">
        <f>SUM(F34:F37)</f>
        <v>-618.30800812035977</v>
      </c>
      <c r="G38" s="83">
        <f>IF(ISERROR(F38/E38),"n/a",F38/E38)</f>
        <v>-8.5934507541984503E-4</v>
      </c>
      <c r="K38" s="42">
        <f>SUM(K34:K37)</f>
        <v>-831.78378378428624</v>
      </c>
      <c r="L38" s="83">
        <f>IF(ISERROR(K38/E38),"n/a",K38/E38)</f>
        <v>-1.1560408227317843E-3</v>
      </c>
    </row>
    <row r="39" spans="1:12" ht="5.15" customHeight="1" x14ac:dyDescent="0.6">
      <c r="D39" s="447"/>
      <c r="E39" s="6"/>
      <c r="F39" s="6"/>
      <c r="G39" s="83"/>
      <c r="K39" s="42"/>
      <c r="L39" s="83"/>
    </row>
    <row r="40" spans="1:12" x14ac:dyDescent="0.6">
      <c r="D40" s="447" t="s">
        <v>428</v>
      </c>
      <c r="E40" s="6">
        <f>SUM(E17,E32,E38)</f>
        <v>1835267.0194770624</v>
      </c>
      <c r="F40" s="42">
        <f>SUM(F17,F32,F38)</f>
        <v>62443.045604957799</v>
      </c>
      <c r="G40" s="83">
        <f>IF(ISERROR(F40/E40),"n/a",F40/E40)</f>
        <v>3.4023956700725874E-2</v>
      </c>
      <c r="K40" s="42">
        <f>SUM(K17,K32,K38)</f>
        <v>84002.005573565344</v>
      </c>
      <c r="L40" s="83">
        <f>IF(ISERROR(K40/E40),"n/a",K40/E40)</f>
        <v>4.5770999359810174E-2</v>
      </c>
    </row>
    <row r="41" spans="1:12" ht="5.15" customHeight="1" x14ac:dyDescent="0.6">
      <c r="D41" s="447"/>
      <c r="E41" s="38"/>
      <c r="K41" s="449"/>
      <c r="L41" s="450"/>
    </row>
    <row r="42" spans="1:12" x14ac:dyDescent="0.6">
      <c r="D42" s="12" t="s">
        <v>418</v>
      </c>
      <c r="E42" s="64"/>
    </row>
    <row r="43" spans="1:12" x14ac:dyDescent="0.6">
      <c r="D43" s="14" t="s">
        <v>425</v>
      </c>
      <c r="E43" s="53">
        <f>'Table 3.28-REC Volume'!H43</f>
        <v>35950.962</v>
      </c>
      <c r="F43" s="42">
        <v>11296.219205754649</v>
      </c>
      <c r="G43" s="83">
        <f>IF(ISERROR(F43/E43),"n/a",F43/E43)</f>
        <v>0.31421187576996268</v>
      </c>
      <c r="I43" s="29">
        <v>1.3452579828504685</v>
      </c>
      <c r="K43" s="42">
        <f>F43*I43</f>
        <v>15196.329062570221</v>
      </c>
      <c r="L43" s="83">
        <f>IF(ISERROR(K43/E43),"n/a",K43/E43)</f>
        <v>0.42269603418596202</v>
      </c>
    </row>
    <row r="44" spans="1:12" x14ac:dyDescent="0.6">
      <c r="D44" s="451" t="s">
        <v>426</v>
      </c>
      <c r="E44" s="282">
        <f>'Table 3.28-REC Volume'!H44</f>
        <v>13821.716765646408</v>
      </c>
      <c r="F44" s="174">
        <v>4342.9475512948993</v>
      </c>
      <c r="G44" s="172">
        <f>IF(ISERROR(F44/E44),"n/a",F44/E44)</f>
        <v>0.31421187576996268</v>
      </c>
      <c r="H44" s="283"/>
      <c r="I44" s="446">
        <v>1.3452579828504685</v>
      </c>
      <c r="J44" s="283"/>
      <c r="K44" s="174">
        <f>F44*I44</f>
        <v>5842.3848624803577</v>
      </c>
      <c r="L44" s="172">
        <f>IF(ISERROR(K44/E44),"n/a",K44/E44)</f>
        <v>0.42269603418596197</v>
      </c>
    </row>
    <row r="45" spans="1:12" x14ac:dyDescent="0.6">
      <c r="D45" s="447" t="s">
        <v>427</v>
      </c>
      <c r="E45" s="6">
        <f>SUM(E43:E44)</f>
        <v>49772.678765646408</v>
      </c>
      <c r="F45" s="42">
        <f>SUM(F43:F44)</f>
        <v>15639.166757049548</v>
      </c>
      <c r="G45" s="83">
        <f>IF(ISERROR(F45/E45),"n/a",F45/E45)</f>
        <v>0.31421187576996268</v>
      </c>
      <c r="K45" s="42">
        <f>SUM(K43:K44)</f>
        <v>21038.713925050579</v>
      </c>
      <c r="L45" s="83">
        <f>IF(ISERROR(K45/E45),"n/a",K45/E45)</f>
        <v>0.42269603418596202</v>
      </c>
    </row>
    <row r="46" spans="1:12" ht="5.15" customHeight="1" x14ac:dyDescent="0.6">
      <c r="D46" s="447"/>
    </row>
    <row r="47" spans="1:12" x14ac:dyDescent="0.6">
      <c r="D47" s="459" t="s">
        <v>429</v>
      </c>
      <c r="E47" s="6">
        <f>SUM(E40,E45)</f>
        <v>1885039.6982427088</v>
      </c>
      <c r="F47" s="42">
        <f>SUM(F40,F45)</f>
        <v>78082.212362007354</v>
      </c>
      <c r="G47" s="83">
        <f>IF(ISERROR(F47/E47),"n/a",F47/E47)</f>
        <v>4.1422051978426744E-2</v>
      </c>
      <c r="K47" s="42">
        <f>SUM(K40,K45)</f>
        <v>105040.71949861592</v>
      </c>
      <c r="L47" s="83">
        <f>IF(ISERROR(K47/E47),"n/a",K47/E47)</f>
        <v>5.5723346090025619E-2</v>
      </c>
    </row>
    <row r="48" spans="1:12" x14ac:dyDescent="0.6">
      <c r="D48" s="447"/>
      <c r="E48" s="6"/>
      <c r="F48" s="42"/>
      <c r="G48" s="83"/>
      <c r="K48" s="42"/>
      <c r="L48" s="83"/>
    </row>
    <row r="49" spans="1:12" x14ac:dyDescent="0.6">
      <c r="D49" s="360" t="s">
        <v>476</v>
      </c>
      <c r="E49" s="362">
        <f>SUM(E8:E10,E23:E25)</f>
        <v>149047.19907732998</v>
      </c>
      <c r="F49" s="463">
        <f>SUM(F8:F10,F23:F25)</f>
        <v>4625.1134193412254</v>
      </c>
      <c r="G49" s="464">
        <f>IF(ISERROR(F49/E49),"n/a",F49/E49)</f>
        <v>3.1031199834500638E-2</v>
      </c>
      <c r="H49" s="361"/>
      <c r="I49" s="465">
        <v>1.3452579828504685</v>
      </c>
      <c r="J49" s="361"/>
      <c r="K49" s="463">
        <f>F49*I49</f>
        <v>6221.9707489576094</v>
      </c>
      <c r="L49" s="466">
        <f>IF(ISERROR(K49/E49),"n/a",K49/E49)</f>
        <v>4.1744969294790116E-2</v>
      </c>
    </row>
    <row r="50" spans="1:12" x14ac:dyDescent="0.6">
      <c r="D50" s="467" t="s">
        <v>400</v>
      </c>
      <c r="E50" s="10">
        <f>SUM(E15:E16,E30:E31,E36:E37)</f>
        <v>218435.09487092582</v>
      </c>
      <c r="F50" s="174">
        <f>SUM(F15:F16,F30:F31,F36:F37)</f>
        <v>6778.3030798078053</v>
      </c>
      <c r="G50" s="172">
        <f>IF(ISERROR(F50/E50),"n/a",F50/E50)</f>
        <v>3.1031199834500641E-2</v>
      </c>
      <c r="H50" s="283"/>
      <c r="I50" s="446">
        <v>1.3452579828504685</v>
      </c>
      <c r="J50" s="283"/>
      <c r="K50" s="174">
        <f>F50*I50</f>
        <v>9118.5663282913665</v>
      </c>
      <c r="L50" s="468">
        <f>IF(ISERROR(K50/E50),"n/a",K50/E50)</f>
        <v>4.1744969294790123E-2</v>
      </c>
    </row>
    <row r="51" spans="1:12" hidden="1" x14ac:dyDescent="0.6">
      <c r="A51" s="25"/>
    </row>
    <row r="52" spans="1:12" hidden="1" x14ac:dyDescent="0.6">
      <c r="A52" s="25"/>
      <c r="D52" s="14" t="s">
        <v>191</v>
      </c>
      <c r="E52" s="143">
        <f>E17-'Table 3.28-REC Volume'!H17</f>
        <v>0</v>
      </c>
      <c r="F52" s="143">
        <v>0</v>
      </c>
      <c r="J52" s="14" t="s">
        <v>191</v>
      </c>
      <c r="K52" s="143">
        <f>K47/F47-I44</f>
        <v>0</v>
      </c>
      <c r="L52" s="143">
        <f>L47/G47-I44</f>
        <v>0</v>
      </c>
    </row>
    <row r="53" spans="1:12" hidden="1" x14ac:dyDescent="0.6">
      <c r="A53" s="25"/>
      <c r="E53" s="143">
        <f>E32-'Table 3.28-REC Volume'!H32</f>
        <v>0</v>
      </c>
      <c r="F53" s="143">
        <v>9.0949470177292824E-13</v>
      </c>
    </row>
    <row r="54" spans="1:12" hidden="1" x14ac:dyDescent="0.6">
      <c r="E54" s="143">
        <f>E38-'Table 3.28-REC Volume'!H38</f>
        <v>0</v>
      </c>
      <c r="F54" s="143">
        <v>0</v>
      </c>
    </row>
    <row r="55" spans="1:12" hidden="1" x14ac:dyDescent="0.6">
      <c r="E55" s="143">
        <f>E45-'Table 3.28-REC Volume'!H45</f>
        <v>0</v>
      </c>
      <c r="F55" s="143">
        <v>0</v>
      </c>
    </row>
    <row r="56" spans="1:12" hidden="1" x14ac:dyDescent="0.6">
      <c r="E56" s="143">
        <f>E47-'Table 3.28-REC Volume'!H47</f>
        <v>0</v>
      </c>
      <c r="F56" s="240"/>
    </row>
    <row r="57" spans="1:12" x14ac:dyDescent="0.6">
      <c r="A57" s="141"/>
      <c r="B57" s="283"/>
      <c r="C57" s="293"/>
    </row>
    <row r="58" spans="1:12" x14ac:dyDescent="0.6">
      <c r="A58" s="11" t="s">
        <v>235</v>
      </c>
      <c r="C58" s="64"/>
    </row>
    <row r="59" spans="1:12" x14ac:dyDescent="0.6">
      <c r="A59" s="12" t="s">
        <v>699</v>
      </c>
      <c r="C59" s="64"/>
    </row>
    <row r="60" spans="1:12" x14ac:dyDescent="0.6">
      <c r="A60" s="25" t="s">
        <v>810</v>
      </c>
    </row>
    <row r="61" spans="1:12" x14ac:dyDescent="0.6">
      <c r="A61" s="25" t="s">
        <v>808</v>
      </c>
    </row>
    <row r="62" spans="1:12" x14ac:dyDescent="0.6">
      <c r="A62" s="24" t="s">
        <v>414</v>
      </c>
    </row>
    <row r="63" spans="1:12" x14ac:dyDescent="0.6">
      <c r="A63" s="25" t="s">
        <v>7</v>
      </c>
    </row>
    <row r="64" spans="1:12" x14ac:dyDescent="0.6">
      <c r="A64" s="25" t="s">
        <v>656</v>
      </c>
    </row>
    <row r="65" spans="1:1" x14ac:dyDescent="0.6">
      <c r="A65" s="25" t="s">
        <v>8</v>
      </c>
    </row>
    <row r="66" spans="1:1" x14ac:dyDescent="0.6">
      <c r="A66" s="25" t="s">
        <v>657</v>
      </c>
    </row>
    <row r="67" spans="1:1" x14ac:dyDescent="0.6">
      <c r="A67" s="12" t="s">
        <v>24</v>
      </c>
    </row>
  </sheetData>
  <phoneticPr fontId="5" type="noConversion"/>
  <printOptions horizontalCentered="1"/>
  <pageMargins left="0.75" right="0.75" top="1" bottom="1" header="0.5" footer="0.5"/>
  <pageSetup scale="62" orientation="landscape" r:id="rId1"/>
  <headerFooter alignWithMargins="0">
    <oddFooter>&amp;L&amp;F</odd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M67"/>
  <sheetViews>
    <sheetView zoomScale="70" workbookViewId="0"/>
  </sheetViews>
  <sheetFormatPr defaultRowHeight="13" x14ac:dyDescent="0.6"/>
  <cols>
    <col min="1" max="1" width="27.08984375" customWidth="1"/>
    <col min="2" max="2" width="9.6796875" customWidth="1"/>
    <col min="3" max="3" width="25.6796875" customWidth="1"/>
    <col min="4" max="4" width="18.31640625" customWidth="1"/>
    <col min="5" max="7" width="11.6796875" customWidth="1"/>
    <col min="8" max="8" width="3.6796875" customWidth="1"/>
    <col min="9" max="9" width="11.6796875" customWidth="1"/>
    <col min="10" max="10" width="3.6796875" customWidth="1"/>
    <col min="11" max="12" width="11.6796875" customWidth="1"/>
  </cols>
  <sheetData>
    <row r="1" spans="1:13" ht="15.5" x14ac:dyDescent="0.7">
      <c r="A1" s="158" t="s">
        <v>674</v>
      </c>
      <c r="B1" s="158"/>
      <c r="C1" s="158"/>
      <c r="D1" s="158"/>
    </row>
    <row r="2" spans="1:13" ht="15.5" x14ac:dyDescent="0.7">
      <c r="A2" s="158" t="s">
        <v>787</v>
      </c>
      <c r="B2" s="443"/>
      <c r="C2" s="443"/>
      <c r="D2" s="443"/>
    </row>
    <row r="3" spans="1:13" ht="39" x14ac:dyDescent="0.6">
      <c r="A3" s="444" t="s">
        <v>396</v>
      </c>
      <c r="B3" s="445" t="s">
        <v>399</v>
      </c>
      <c r="C3" s="444" t="s">
        <v>397</v>
      </c>
      <c r="D3" s="444" t="s">
        <v>348</v>
      </c>
      <c r="E3" s="168" t="s">
        <v>432</v>
      </c>
      <c r="F3" s="189" t="s">
        <v>403</v>
      </c>
      <c r="G3" s="8" t="s">
        <v>104</v>
      </c>
      <c r="H3" s="8"/>
      <c r="I3" s="199" t="s">
        <v>404</v>
      </c>
      <c r="J3" s="87"/>
      <c r="K3" s="160" t="s">
        <v>415</v>
      </c>
      <c r="L3" s="41" t="s">
        <v>133</v>
      </c>
      <c r="M3" s="11"/>
    </row>
    <row r="4" spans="1:13" x14ac:dyDescent="0.6">
      <c r="A4" s="25" t="s">
        <v>410</v>
      </c>
      <c r="B4" t="s">
        <v>407</v>
      </c>
      <c r="C4" t="s">
        <v>398</v>
      </c>
      <c r="D4" t="s">
        <v>278</v>
      </c>
      <c r="E4" s="6">
        <v>0</v>
      </c>
      <c r="F4" s="42">
        <v>0</v>
      </c>
      <c r="G4" s="83" t="str">
        <f>IF(ISERROR(F4/E4),"n/a",F4/E4)</f>
        <v>n/a</v>
      </c>
      <c r="I4" s="29">
        <v>1.3452579828504685</v>
      </c>
      <c r="K4" s="42">
        <f>F4*I4</f>
        <v>0</v>
      </c>
      <c r="L4" s="83" t="str">
        <f>IF(ISERROR(K4/E4),"n/a",K4/E4)</f>
        <v>n/a</v>
      </c>
    </row>
    <row r="5" spans="1:13" x14ac:dyDescent="0.6">
      <c r="D5" t="s">
        <v>373</v>
      </c>
      <c r="E5" s="6">
        <v>0</v>
      </c>
      <c r="F5" s="42">
        <v>0</v>
      </c>
      <c r="G5" s="83" t="str">
        <f>IF(ISERROR(F5/E5),"n/a",F5/E5)</f>
        <v>n/a</v>
      </c>
      <c r="I5" s="29">
        <v>1.3452579828504685</v>
      </c>
      <c r="K5" s="42">
        <f>F5*I5</f>
        <v>0</v>
      </c>
      <c r="L5" s="83" t="str">
        <f>IF(ISERROR(K5/E5),"n/a",K5/E5)</f>
        <v>n/a</v>
      </c>
    </row>
    <row r="6" spans="1:13" x14ac:dyDescent="0.6">
      <c r="D6" t="s">
        <v>279</v>
      </c>
      <c r="E6" s="6">
        <v>0</v>
      </c>
      <c r="F6" s="42">
        <v>0</v>
      </c>
      <c r="G6" s="83" t="str">
        <f>IF(ISERROR(F6/E6),"n/a",F6/E6)</f>
        <v>n/a</v>
      </c>
      <c r="I6" s="29">
        <v>1.3452579828504685</v>
      </c>
      <c r="K6" s="42">
        <f>F6*I6</f>
        <v>0</v>
      </c>
      <c r="L6" s="83" t="str">
        <f>IF(ISERROR(K6/E6),"n/a",K6/E6)</f>
        <v>n/a</v>
      </c>
    </row>
    <row r="7" spans="1:13" x14ac:dyDescent="0.6">
      <c r="E7" s="6"/>
    </row>
    <row r="8" spans="1:13" x14ac:dyDescent="0.6">
      <c r="B8" t="s">
        <v>476</v>
      </c>
      <c r="C8" t="s">
        <v>398</v>
      </c>
      <c r="D8" t="s">
        <v>278</v>
      </c>
      <c r="E8" s="6">
        <f>'Table 3.28-REC Volume'!H8</f>
        <v>57530.35242062324</v>
      </c>
      <c r="F8" s="42">
        <v>3360.2305762390188</v>
      </c>
      <c r="G8" s="83">
        <f>IF(ISERROR(F8/E8),"n/a",F8/E8)</f>
        <v>5.8407960925934768E-2</v>
      </c>
      <c r="I8" s="29">
        <v>1.3452579828504685</v>
      </c>
      <c r="K8" s="42">
        <f>F8*I8</f>
        <v>4520.3770069037701</v>
      </c>
      <c r="L8" s="83">
        <f>IF(ISERROR(K8/E8),"n/a",K8/E8)</f>
        <v>7.8573775697631992E-2</v>
      </c>
    </row>
    <row r="9" spans="1:13" x14ac:dyDescent="0.6">
      <c r="D9" t="s">
        <v>373</v>
      </c>
      <c r="E9" s="6">
        <f>'Table 3.28-REC Volume'!H9</f>
        <v>2596.1553404808133</v>
      </c>
      <c r="F9" s="42">
        <v>151.63613968446026</v>
      </c>
      <c r="G9" s="83">
        <f>IF(ISERROR(F9/E9),"n/a",F9/E9)</f>
        <v>5.8407960925934789E-2</v>
      </c>
      <c r="I9" s="29">
        <v>1.3452579828504685</v>
      </c>
      <c r="K9" s="42">
        <f>F9*I9</f>
        <v>203.98972739914888</v>
      </c>
      <c r="L9" s="83">
        <f>IF(ISERROR(K9/E9),"n/a",K9/E9)</f>
        <v>7.8573775697632006E-2</v>
      </c>
    </row>
    <row r="10" spans="1:13" x14ac:dyDescent="0.6">
      <c r="D10" t="s">
        <v>279</v>
      </c>
      <c r="E10" s="6">
        <f>'Table 3.28-REC Volume'!H10</f>
        <v>79490.424817495936</v>
      </c>
      <c r="F10" s="42">
        <v>4642.8736267262584</v>
      </c>
      <c r="G10" s="83">
        <f>IF(ISERROR(F10/E10),"n/a",F10/E10)</f>
        <v>5.8407960925934775E-2</v>
      </c>
      <c r="I10" s="29">
        <v>1.3452579828504685</v>
      </c>
      <c r="K10" s="42">
        <f>F10*I10</f>
        <v>6245.862809719405</v>
      </c>
      <c r="L10" s="83">
        <f>IF(ISERROR(K10/E10),"n/a",K10/E10)</f>
        <v>7.8573775697631992E-2</v>
      </c>
    </row>
    <row r="11" spans="1:13" x14ac:dyDescent="0.6">
      <c r="E11" s="6"/>
    </row>
    <row r="12" spans="1:13" x14ac:dyDescent="0.6">
      <c r="B12" t="s">
        <v>407</v>
      </c>
      <c r="C12" s="12" t="s">
        <v>48</v>
      </c>
      <c r="D12" t="s">
        <v>373</v>
      </c>
      <c r="E12" s="6">
        <v>0</v>
      </c>
      <c r="F12" s="42">
        <v>0</v>
      </c>
      <c r="G12" s="83" t="str">
        <f>IF(ISERROR(F12/E12),"n/a",F12/E12)</f>
        <v>n/a</v>
      </c>
      <c r="I12" s="29">
        <v>1.3452579828504685</v>
      </c>
      <c r="K12" s="42">
        <f>F12*I12</f>
        <v>0</v>
      </c>
      <c r="L12" s="83" t="str">
        <f>IF(ISERROR(K12/E12),"n/a",K12/E12)</f>
        <v>n/a</v>
      </c>
    </row>
    <row r="13" spans="1:13" x14ac:dyDescent="0.6">
      <c r="C13" s="12" t="s">
        <v>655</v>
      </c>
      <c r="D13" t="s">
        <v>279</v>
      </c>
      <c r="E13" s="6">
        <v>0</v>
      </c>
      <c r="F13" s="42">
        <v>0</v>
      </c>
      <c r="G13" s="83" t="str">
        <f>IF(ISERROR(F13/E13),"n/a",F13/E13)</f>
        <v>n/a</v>
      </c>
      <c r="I13" s="29">
        <v>1.3452579828504685</v>
      </c>
      <c r="K13" s="42">
        <f>F13*I13</f>
        <v>0</v>
      </c>
      <c r="L13" s="83" t="str">
        <f>IF(ISERROR(K13/E13),"n/a",K13/E13)</f>
        <v>n/a</v>
      </c>
    </row>
    <row r="14" spans="1:13" x14ac:dyDescent="0.6">
      <c r="E14" s="6"/>
    </row>
    <row r="15" spans="1:13" x14ac:dyDescent="0.6">
      <c r="B15" t="s">
        <v>400</v>
      </c>
      <c r="C15" s="12" t="s">
        <v>48</v>
      </c>
      <c r="D15" t="s">
        <v>373</v>
      </c>
      <c r="E15" s="6">
        <f>'Table 3.28-REC Volume'!H15</f>
        <v>2299.88626492096</v>
      </c>
      <c r="F15" s="42">
        <v>134.33166709559751</v>
      </c>
      <c r="G15" s="83">
        <f>IF(ISERROR(F15/E15),"n/a",F15/E15)</f>
        <v>5.8407960925934775E-2</v>
      </c>
      <c r="I15" s="29">
        <v>1.3452579828504685</v>
      </c>
      <c r="K15" s="42">
        <f>F15*I15</f>
        <v>180.71074750996416</v>
      </c>
      <c r="L15" s="83">
        <f>IF(ISERROR(K15/E15),"n/a",K15/E15)</f>
        <v>7.8573775697632006E-2</v>
      </c>
    </row>
    <row r="16" spans="1:13" x14ac:dyDescent="0.6">
      <c r="B16" s="283"/>
      <c r="C16" s="325" t="s">
        <v>48</v>
      </c>
      <c r="D16" s="283" t="s">
        <v>279</v>
      </c>
      <c r="E16" s="10">
        <f>'Table 3.28-REC Volume'!H16</f>
        <v>13032.225393912704</v>
      </c>
      <c r="F16" s="174">
        <v>761.18571158562827</v>
      </c>
      <c r="G16" s="172">
        <f>IF(ISERROR(F16/E16),"n/a",F16/E16)</f>
        <v>5.8407960925934782E-2</v>
      </c>
      <c r="H16" s="283"/>
      <c r="I16" s="446">
        <v>1.3452579828504685</v>
      </c>
      <c r="J16" s="283"/>
      <c r="K16" s="174">
        <f>F16*I16</f>
        <v>1023.9911549422808</v>
      </c>
      <c r="L16" s="172">
        <f>IF(ISERROR(K16/E16),"n/a",K16/E16)</f>
        <v>7.8573775697632006E-2</v>
      </c>
    </row>
    <row r="17" spans="1:12" x14ac:dyDescent="0.6">
      <c r="D17" s="447" t="s">
        <v>406</v>
      </c>
      <c r="E17" s="6">
        <f>SUM(E4:E16)</f>
        <v>154949.04423743364</v>
      </c>
      <c r="F17" s="42">
        <f>SUM(F4:F16)</f>
        <v>9050.2577213309632</v>
      </c>
      <c r="G17" s="83">
        <f>IF(ISERROR(F17/E17),"n/a",F17/E17)</f>
        <v>5.8407960925934775E-2</v>
      </c>
      <c r="K17" s="42">
        <f>SUM(K4:K16)</f>
        <v>12174.931446474569</v>
      </c>
      <c r="L17" s="83">
        <f>IF(ISERROR(K17/E17),"n/a",K17/E17)</f>
        <v>7.8573775697632006E-2</v>
      </c>
    </row>
    <row r="18" spans="1:12" ht="5.15" customHeight="1" x14ac:dyDescent="0.6"/>
    <row r="19" spans="1:12" x14ac:dyDescent="0.6">
      <c r="A19" s="25" t="s">
        <v>411</v>
      </c>
      <c r="B19" t="s">
        <v>407</v>
      </c>
      <c r="C19" t="s">
        <v>398</v>
      </c>
      <c r="D19" t="s">
        <v>278</v>
      </c>
      <c r="E19" s="6">
        <v>0</v>
      </c>
      <c r="F19" s="42">
        <v>0</v>
      </c>
      <c r="G19" s="83" t="str">
        <f>IF(ISERROR(F19/E19),"n/a",F19/E19)</f>
        <v>n/a</v>
      </c>
      <c r="I19" s="29">
        <v>1.3452579828504685</v>
      </c>
      <c r="K19" s="42">
        <f>F19*I19</f>
        <v>0</v>
      </c>
      <c r="L19" s="83" t="str">
        <f>IF(ISERROR(K19/E19),"n/a",K19/E19)</f>
        <v>n/a</v>
      </c>
    </row>
    <row r="20" spans="1:12" x14ac:dyDescent="0.6">
      <c r="D20" t="s">
        <v>373</v>
      </c>
      <c r="E20" s="6">
        <v>0</v>
      </c>
      <c r="F20" s="42">
        <v>0</v>
      </c>
      <c r="G20" s="83" t="str">
        <f>IF(ISERROR(F20/E20),"n/a",F20/E20)</f>
        <v>n/a</v>
      </c>
      <c r="I20" s="29">
        <v>1.3452579828504685</v>
      </c>
      <c r="K20" s="42">
        <f>F20*I20</f>
        <v>0</v>
      </c>
      <c r="L20" s="83" t="str">
        <f>IF(ISERROR(K20/E20),"n/a",K20/E20)</f>
        <v>n/a</v>
      </c>
    </row>
    <row r="21" spans="1:12" x14ac:dyDescent="0.6">
      <c r="D21" t="s">
        <v>279</v>
      </c>
      <c r="E21" s="6">
        <v>0</v>
      </c>
      <c r="F21" s="42">
        <v>0</v>
      </c>
      <c r="G21" s="83" t="str">
        <f>IF(ISERROR(F21/E21),"n/a",F21/E21)</f>
        <v>n/a</v>
      </c>
      <c r="I21" s="29">
        <v>1.3452579828504685</v>
      </c>
      <c r="K21" s="42">
        <f>F21*I21</f>
        <v>0</v>
      </c>
      <c r="L21" s="83" t="str">
        <f>IF(ISERROR(K21/E21),"n/a",K21/E21)</f>
        <v>n/a</v>
      </c>
    </row>
    <row r="22" spans="1:12" x14ac:dyDescent="0.6">
      <c r="E22" s="6"/>
    </row>
    <row r="23" spans="1:12" x14ac:dyDescent="0.6">
      <c r="B23" t="s">
        <v>476</v>
      </c>
      <c r="C23" t="s">
        <v>398</v>
      </c>
      <c r="D23" t="s">
        <v>278</v>
      </c>
      <c r="E23" s="6">
        <f>'Table 3.28-REC Volume'!H23</f>
        <v>3885.8220494631523</v>
      </c>
      <c r="F23" s="42">
        <v>226.9629424301796</v>
      </c>
      <c r="G23" s="83">
        <f>IF(ISERROR(F23/E23),"n/a",F23/E23)</f>
        <v>5.8407960925934775E-2</v>
      </c>
      <c r="I23" s="29">
        <v>1.3452579828504685</v>
      </c>
      <c r="K23" s="42">
        <f>F23*I23</f>
        <v>305.3237101154304</v>
      </c>
      <c r="L23" s="83">
        <f>IF(ISERROR(K23/E23),"n/a",K23/E23)</f>
        <v>7.8573775697631992E-2</v>
      </c>
    </row>
    <row r="24" spans="1:12" x14ac:dyDescent="0.6">
      <c r="D24" t="s">
        <v>373</v>
      </c>
      <c r="E24" s="6">
        <f>'Table 3.28-REC Volume'!H24</f>
        <v>175.3543519447569</v>
      </c>
      <c r="F24" s="42">
        <v>10.242090136581973</v>
      </c>
      <c r="G24" s="83">
        <f>IF(ISERROR(F24/E24),"n/a",F24/E24)</f>
        <v>5.8407960925934761E-2</v>
      </c>
      <c r="I24" s="29">
        <v>1.3452579828504685</v>
      </c>
      <c r="K24" s="42">
        <f>F24*I24</f>
        <v>13.778253517310945</v>
      </c>
      <c r="L24" s="83">
        <f>IF(ISERROR(K24/E24),"n/a",K24/E24)</f>
        <v>7.8573775697631978E-2</v>
      </c>
    </row>
    <row r="25" spans="1:12" x14ac:dyDescent="0.6">
      <c r="D25" t="s">
        <v>279</v>
      </c>
      <c r="E25" s="6">
        <f>'Table 3.28-REC Volume'!H25</f>
        <v>5369.0900973221005</v>
      </c>
      <c r="F25" s="42">
        <v>313.59760461221265</v>
      </c>
      <c r="G25" s="83">
        <f>IF(ISERROR(F25/E25),"n/a",F25/E25)</f>
        <v>5.8407960925934789E-2</v>
      </c>
      <c r="I25" s="29">
        <v>1.3452579828504685</v>
      </c>
      <c r="K25" s="42">
        <f>F25*I25</f>
        <v>421.86968100736397</v>
      </c>
      <c r="L25" s="83">
        <f>IF(ISERROR(K25/E25),"n/a",K25/E25)</f>
        <v>7.857377569763202E-2</v>
      </c>
    </row>
    <row r="26" spans="1:12" x14ac:dyDescent="0.6">
      <c r="E26" s="6"/>
    </row>
    <row r="27" spans="1:12" x14ac:dyDescent="0.6">
      <c r="B27" t="s">
        <v>407</v>
      </c>
      <c r="C27" s="12" t="s">
        <v>48</v>
      </c>
      <c r="D27" s="12" t="s">
        <v>433</v>
      </c>
      <c r="E27" s="6">
        <v>0</v>
      </c>
      <c r="F27" s="42">
        <v>0</v>
      </c>
      <c r="G27" s="83" t="str">
        <f>IF(ISERROR(F27/E27),"n/a",F27/E27)</f>
        <v>n/a</v>
      </c>
      <c r="I27" s="29">
        <v>1.3452579828504685</v>
      </c>
      <c r="K27" s="42">
        <f>F27*I27</f>
        <v>0</v>
      </c>
      <c r="L27" s="83" t="str">
        <f>IF(ISERROR(K27/E27),"n/a",K27/E27)</f>
        <v>n/a</v>
      </c>
    </row>
    <row r="28" spans="1:12" x14ac:dyDescent="0.6">
      <c r="C28" s="12" t="s">
        <v>655</v>
      </c>
      <c r="D28" t="s">
        <v>279</v>
      </c>
      <c r="E28" s="6">
        <v>0</v>
      </c>
      <c r="F28" s="42">
        <v>0</v>
      </c>
      <c r="G28" s="83" t="str">
        <f>IF(ISERROR(F28/E28),"n/a",F28/E28)</f>
        <v>n/a</v>
      </c>
      <c r="I28" s="29">
        <v>1.3452579828504685</v>
      </c>
      <c r="K28" s="42">
        <f>F28*I28</f>
        <v>0</v>
      </c>
      <c r="L28" s="83" t="str">
        <f>IF(ISERROR(K28/E28),"n/a",K28/E28)</f>
        <v>n/a</v>
      </c>
    </row>
    <row r="29" spans="1:12" x14ac:dyDescent="0.6">
      <c r="E29" s="6"/>
    </row>
    <row r="30" spans="1:12" x14ac:dyDescent="0.6">
      <c r="B30" t="s">
        <v>400</v>
      </c>
      <c r="C30" s="12" t="s">
        <v>48</v>
      </c>
      <c r="D30" t="s">
        <v>373</v>
      </c>
      <c r="E30" s="6">
        <f>'Table 3.28-REC Volume'!H30</f>
        <v>155.34319508676674</v>
      </c>
      <c r="F30" s="42">
        <v>9.0732792687377337</v>
      </c>
      <c r="G30" s="83">
        <f>IF(ISERROR(F30/E30),"n/a",F30/E30)</f>
        <v>5.8407960925934768E-2</v>
      </c>
      <c r="I30" s="29">
        <v>1.3452579828504685</v>
      </c>
      <c r="K30" s="42">
        <f>F30*I30</f>
        <v>12.205901366901097</v>
      </c>
      <c r="L30" s="83">
        <f>IF(ISERROR(K30/E30),"n/a",K30/E30)</f>
        <v>7.8573775697631978E-2</v>
      </c>
    </row>
    <row r="31" spans="1:12" x14ac:dyDescent="0.6">
      <c r="B31" s="283"/>
      <c r="C31" s="325" t="s">
        <v>48</v>
      </c>
      <c r="D31" s="283" t="s">
        <v>279</v>
      </c>
      <c r="E31" s="10">
        <f>'Table 3.28-REC Volume'!H31</f>
        <v>880.24680292217488</v>
      </c>
      <c r="F31" s="174">
        <v>51.413420870257397</v>
      </c>
      <c r="G31" s="172">
        <f>IF(ISERROR(F31/E31),"n/a",F31/E31)</f>
        <v>5.8407960925934775E-2</v>
      </c>
      <c r="H31" s="283"/>
      <c r="I31" s="446">
        <v>1.3452579828504685</v>
      </c>
      <c r="J31" s="283"/>
      <c r="K31" s="174">
        <f>F31*I31</f>
        <v>69.164314851364651</v>
      </c>
      <c r="L31" s="172">
        <f>IF(ISERROR(K31/E31),"n/a",K31/E31)</f>
        <v>7.8573775697632006E-2</v>
      </c>
    </row>
    <row r="32" spans="1:12" x14ac:dyDescent="0.6">
      <c r="D32" s="447" t="s">
        <v>405</v>
      </c>
      <c r="E32" s="6">
        <f>SUM(E19:E31)</f>
        <v>10465.85649673895</v>
      </c>
      <c r="F32" s="42">
        <f>SUM(F19:F31)</f>
        <v>611.28933731796928</v>
      </c>
      <c r="G32" s="83">
        <f>IF(ISERROR(F32/E32),"n/a",F32/E32)</f>
        <v>5.8407960925934782E-2</v>
      </c>
      <c r="K32" s="42">
        <f>SUM(K19:K31)</f>
        <v>822.34186085837109</v>
      </c>
      <c r="L32" s="83">
        <f>IF(ISERROR(K32/E32),"n/a",K32/E32)</f>
        <v>7.857377569763202E-2</v>
      </c>
    </row>
    <row r="33" spans="1:12" ht="5.15" customHeight="1" x14ac:dyDescent="0.6"/>
    <row r="34" spans="1:12" x14ac:dyDescent="0.6">
      <c r="A34" s="25" t="s">
        <v>412</v>
      </c>
      <c r="B34" t="s">
        <v>407</v>
      </c>
      <c r="C34" s="12" t="s">
        <v>409</v>
      </c>
      <c r="D34" s="12" t="s">
        <v>433</v>
      </c>
      <c r="E34" s="6">
        <v>0</v>
      </c>
      <c r="F34" s="42">
        <v>0</v>
      </c>
      <c r="G34" s="83" t="str">
        <f>IF(ISERROR(F34/E34),"n/a",F34/E34)</f>
        <v>n/a</v>
      </c>
      <c r="I34" s="29">
        <v>1.3452579828504685</v>
      </c>
      <c r="K34" s="42">
        <f>F34*I34</f>
        <v>0</v>
      </c>
      <c r="L34" s="83" t="str">
        <f>IF(ISERROR(K34/E34),"n/a",K34/E34)</f>
        <v>n/a</v>
      </c>
    </row>
    <row r="35" spans="1:12" x14ac:dyDescent="0.6">
      <c r="E35" s="6"/>
    </row>
    <row r="36" spans="1:12" x14ac:dyDescent="0.6">
      <c r="B36" t="s">
        <v>400</v>
      </c>
      <c r="C36" t="s">
        <v>409</v>
      </c>
      <c r="D36" t="s">
        <v>373</v>
      </c>
      <c r="E36" s="6">
        <f>'Table 3.28-REC Volume'!H36</f>
        <v>51174.149079571893</v>
      </c>
      <c r="F36" s="42">
        <v>2988.9776998575962</v>
      </c>
      <c r="G36" s="83">
        <f>IF(ISERROR(F36/E36),"n/a",F36/E36)</f>
        <v>5.8407960925934775E-2</v>
      </c>
      <c r="I36" s="29">
        <v>1.3452579828504685</v>
      </c>
      <c r="K36" s="42">
        <f>F36*I36</f>
        <v>4020.9461112954627</v>
      </c>
      <c r="L36" s="83">
        <f>IF(ISERROR(K36/E36),"n/a",K36/E36)</f>
        <v>7.8573775697631992E-2</v>
      </c>
    </row>
    <row r="37" spans="1:12" x14ac:dyDescent="0.6">
      <c r="B37" s="283"/>
      <c r="C37" s="283"/>
      <c r="D37" s="283" t="s">
        <v>279</v>
      </c>
      <c r="E37" s="10">
        <f>'Table 3.28-REC Volume'!H37</f>
        <v>150893.24413451133</v>
      </c>
      <c r="F37" s="174">
        <v>8813.3667073960751</v>
      </c>
      <c r="G37" s="172">
        <f>IF(ISERROR(F37/E37),"n/a",F37/E37)</f>
        <v>5.8407960925934775E-2</v>
      </c>
      <c r="H37" s="283"/>
      <c r="I37" s="446">
        <v>1.3452579828504685</v>
      </c>
      <c r="J37" s="283"/>
      <c r="K37" s="174">
        <f>F37*I37</f>
        <v>11856.25191891312</v>
      </c>
      <c r="L37" s="172">
        <f>IF(ISERROR(K37/E37),"n/a",K37/E37)</f>
        <v>7.8573775697632006E-2</v>
      </c>
    </row>
    <row r="38" spans="1:12" x14ac:dyDescent="0.6">
      <c r="D38" s="447" t="s">
        <v>413</v>
      </c>
      <c r="E38" s="6">
        <f>SUM(E34:E37)</f>
        <v>202067.39321408322</v>
      </c>
      <c r="F38" s="42">
        <f>SUM(F34:F37)</f>
        <v>11802.344407253671</v>
      </c>
      <c r="G38" s="83">
        <f>IF(ISERROR(F38/E38),"n/a",F38/E38)</f>
        <v>5.8407960925934782E-2</v>
      </c>
      <c r="K38" s="42">
        <f>SUM(K34:K37)</f>
        <v>15877.198030208583</v>
      </c>
      <c r="L38" s="83">
        <f>IF(ISERROR(K38/E38),"n/a",K38/E38)</f>
        <v>7.8573775697632006E-2</v>
      </c>
    </row>
    <row r="39" spans="1:12" ht="5.15" customHeight="1" x14ac:dyDescent="0.6">
      <c r="D39" s="447"/>
      <c r="E39" s="6"/>
      <c r="F39" s="6"/>
      <c r="G39" s="83"/>
      <c r="K39" s="42"/>
      <c r="L39" s="83"/>
    </row>
    <row r="40" spans="1:12" x14ac:dyDescent="0.6">
      <c r="D40" s="447" t="s">
        <v>428</v>
      </c>
      <c r="E40" s="6">
        <f>SUM(E17,E32,E38)</f>
        <v>367482.29394825583</v>
      </c>
      <c r="F40" s="42">
        <f>SUM(F17,F32,F38)</f>
        <v>21463.891465902605</v>
      </c>
      <c r="G40" s="83">
        <f>IF(ISERROR(F40/E40),"n/a",F40/E40)</f>
        <v>5.8407960925934775E-2</v>
      </c>
      <c r="K40" s="42">
        <f>SUM(K17,K32,K38)</f>
        <v>28874.471337541523</v>
      </c>
      <c r="L40" s="83">
        <f>IF(ISERROR(K40/E40),"n/a",K40/E40)</f>
        <v>7.8573775697632006E-2</v>
      </c>
    </row>
    <row r="41" spans="1:12" ht="5.15" customHeight="1" x14ac:dyDescent="0.6">
      <c r="D41" s="447"/>
      <c r="E41" s="38"/>
      <c r="K41" s="449"/>
      <c r="L41" s="450"/>
    </row>
    <row r="42" spans="1:12" x14ac:dyDescent="0.6">
      <c r="D42" s="12" t="s">
        <v>418</v>
      </c>
      <c r="E42" s="64"/>
    </row>
    <row r="43" spans="1:12" x14ac:dyDescent="0.6">
      <c r="D43" s="14" t="s">
        <v>425</v>
      </c>
      <c r="E43" s="53">
        <v>0</v>
      </c>
      <c r="F43" s="42">
        <v>0</v>
      </c>
      <c r="G43" s="83" t="str">
        <f>IF(ISERROR(F43/E43),"n/a",F43/E43)</f>
        <v>n/a</v>
      </c>
      <c r="I43" s="29">
        <v>1.3452579828504685</v>
      </c>
      <c r="K43" s="42">
        <f>F43*I43</f>
        <v>0</v>
      </c>
      <c r="L43" s="83" t="str">
        <f>IF(ISERROR(K43/E43),"n/a",K43/E43)</f>
        <v>n/a</v>
      </c>
    </row>
    <row r="44" spans="1:12" x14ac:dyDescent="0.6">
      <c r="D44" s="451" t="s">
        <v>426</v>
      </c>
      <c r="E44" s="282">
        <v>0</v>
      </c>
      <c r="F44" s="174">
        <v>0</v>
      </c>
      <c r="G44" s="172" t="str">
        <f>IF(ISERROR(F44/E44),"n/a",F44/E44)</f>
        <v>n/a</v>
      </c>
      <c r="H44" s="283"/>
      <c r="I44" s="446">
        <v>1.3452579828504685</v>
      </c>
      <c r="J44" s="283"/>
      <c r="K44" s="174">
        <f>F44*I44</f>
        <v>0</v>
      </c>
      <c r="L44" s="172" t="str">
        <f>IF(ISERROR(K44/E44),"n/a",K44/E44)</f>
        <v>n/a</v>
      </c>
    </row>
    <row r="45" spans="1:12" x14ac:dyDescent="0.6">
      <c r="D45" s="447" t="s">
        <v>427</v>
      </c>
      <c r="E45" s="6">
        <f>SUM(E43:E44)</f>
        <v>0</v>
      </c>
      <c r="F45" s="42">
        <f>SUM(F43:F44)</f>
        <v>0</v>
      </c>
      <c r="G45" s="83" t="str">
        <f>IF(ISERROR(F45/E45),"n/a",F45/E45)</f>
        <v>n/a</v>
      </c>
      <c r="K45" s="42">
        <f>SUM(K43:K44)</f>
        <v>0</v>
      </c>
      <c r="L45" s="83" t="str">
        <f>IF(ISERROR(K45/E45),"n/a",K45/E45)</f>
        <v>n/a</v>
      </c>
    </row>
    <row r="46" spans="1:12" ht="5.15" customHeight="1" x14ac:dyDescent="0.6">
      <c r="D46" s="447"/>
    </row>
    <row r="47" spans="1:12" x14ac:dyDescent="0.6">
      <c r="D47" s="459" t="s">
        <v>429</v>
      </c>
      <c r="E47" s="6">
        <f>SUM(E40,E45)</f>
        <v>367482.29394825583</v>
      </c>
      <c r="F47" s="42">
        <f>SUM(F40,F45)</f>
        <v>21463.891465902605</v>
      </c>
      <c r="G47" s="83">
        <f>IF(ISERROR(F47/E47),"n/a",F47/E47)</f>
        <v>5.8407960925934775E-2</v>
      </c>
      <c r="K47" s="42">
        <f>SUM(K40,K45)</f>
        <v>28874.471337541523</v>
      </c>
      <c r="L47" s="83">
        <f>IF(ISERROR(K47/E47),"n/a",K47/E47)</f>
        <v>7.8573775697632006E-2</v>
      </c>
    </row>
    <row r="48" spans="1:12" x14ac:dyDescent="0.6">
      <c r="D48" s="447"/>
      <c r="E48" s="6"/>
      <c r="F48" s="42"/>
      <c r="G48" s="83"/>
      <c r="K48" s="42"/>
      <c r="L48" s="83"/>
    </row>
    <row r="49" spans="1:12" x14ac:dyDescent="0.6">
      <c r="D49" s="360" t="s">
        <v>476</v>
      </c>
      <c r="E49" s="362">
        <f>SUM(E8:E10,E23:E25)</f>
        <v>149047.19907732998</v>
      </c>
      <c r="F49" s="463">
        <f>SUM(F8:F10,F23:F25)</f>
        <v>8705.5429798287114</v>
      </c>
      <c r="G49" s="464">
        <f>IF(ISERROR(F49/E49),"n/a",F49/E49)</f>
        <v>5.8407960925934775E-2</v>
      </c>
      <c r="H49" s="361"/>
      <c r="I49" s="465">
        <v>1.3452579828504685</v>
      </c>
      <c r="J49" s="361"/>
      <c r="K49" s="463">
        <f>F49*I49</f>
        <v>11711.20118866243</v>
      </c>
      <c r="L49" s="466">
        <f>IF(ISERROR(K49/E49),"n/a",K49/E49)</f>
        <v>7.8573775697632006E-2</v>
      </c>
    </row>
    <row r="50" spans="1:12" x14ac:dyDescent="0.6">
      <c r="D50" s="467" t="s">
        <v>400</v>
      </c>
      <c r="E50" s="10">
        <f>SUM(E15:E16,E30:E31,E36:E37)</f>
        <v>218435.09487092582</v>
      </c>
      <c r="F50" s="174">
        <f>SUM(F15:F16,F30:F31,F36:F37)</f>
        <v>12758.348486073892</v>
      </c>
      <c r="G50" s="172">
        <f>IF(ISERROR(F50/E50),"n/a",F50/E50)</f>
        <v>5.8407960925934775E-2</v>
      </c>
      <c r="H50" s="283"/>
      <c r="I50" s="446">
        <v>1.3452579828504685</v>
      </c>
      <c r="J50" s="283"/>
      <c r="K50" s="174">
        <f>F50*I50</f>
        <v>17163.270148879092</v>
      </c>
      <c r="L50" s="468">
        <f>IF(ISERROR(K50/E50),"n/a",K50/E50)</f>
        <v>7.8573775697632006E-2</v>
      </c>
    </row>
    <row r="51" spans="1:12" hidden="1" x14ac:dyDescent="0.6">
      <c r="A51" s="25"/>
    </row>
    <row r="52" spans="1:12" hidden="1" x14ac:dyDescent="0.6">
      <c r="A52" s="25"/>
      <c r="D52" s="14" t="s">
        <v>191</v>
      </c>
      <c r="E52" s="143">
        <f>E17-SUM('Table 3.28-REC Volume'!H8:H10,'Table 3.28-REC Volume'!H15:H16)</f>
        <v>0</v>
      </c>
      <c r="F52" s="143">
        <v>0</v>
      </c>
      <c r="J52" s="14" t="s">
        <v>191</v>
      </c>
      <c r="K52" s="143">
        <f>K47/F47-I44</f>
        <v>0</v>
      </c>
      <c r="L52" s="143">
        <f>L47/G47-I44</f>
        <v>0</v>
      </c>
    </row>
    <row r="53" spans="1:12" hidden="1" x14ac:dyDescent="0.6">
      <c r="A53" s="25"/>
      <c r="E53" s="143">
        <f>E32-SUM('Table 3.28-REC Volume'!H23:H25,'Table 3.28-REC Volume'!H30:H31)</f>
        <v>0</v>
      </c>
      <c r="F53" s="143">
        <v>0</v>
      </c>
    </row>
    <row r="54" spans="1:12" hidden="1" x14ac:dyDescent="0.6">
      <c r="E54" s="143">
        <f>E38-SUM('Table 3.28-REC Volume'!H36:H37)</f>
        <v>0</v>
      </c>
      <c r="F54" s="143">
        <v>0</v>
      </c>
    </row>
    <row r="55" spans="1:12" hidden="1" x14ac:dyDescent="0.6">
      <c r="E55" s="240"/>
      <c r="F55" s="143">
        <v>0</v>
      </c>
    </row>
    <row r="56" spans="1:12" hidden="1" x14ac:dyDescent="0.6">
      <c r="E56" s="240"/>
      <c r="F56" s="240"/>
    </row>
    <row r="57" spans="1:12" x14ac:dyDescent="0.6">
      <c r="A57" s="141"/>
      <c r="B57" s="283"/>
      <c r="C57" s="293"/>
    </row>
    <row r="58" spans="1:12" x14ac:dyDescent="0.6">
      <c r="A58" s="11" t="s">
        <v>235</v>
      </c>
      <c r="C58" s="64"/>
    </row>
    <row r="59" spans="1:12" x14ac:dyDescent="0.6">
      <c r="A59" s="12" t="s">
        <v>699</v>
      </c>
      <c r="C59" s="64"/>
    </row>
    <row r="60" spans="1:12" x14ac:dyDescent="0.6">
      <c r="A60" s="25" t="s">
        <v>810</v>
      </c>
    </row>
    <row r="61" spans="1:12" x14ac:dyDescent="0.6">
      <c r="A61" s="25" t="s">
        <v>808</v>
      </c>
    </row>
    <row r="62" spans="1:12" x14ac:dyDescent="0.6">
      <c r="A62" s="24" t="s">
        <v>414</v>
      </c>
    </row>
    <row r="63" spans="1:12" x14ac:dyDescent="0.6">
      <c r="A63" s="25" t="s">
        <v>7</v>
      </c>
    </row>
    <row r="64" spans="1:12" x14ac:dyDescent="0.6">
      <c r="A64" s="25" t="s">
        <v>656</v>
      </c>
    </row>
    <row r="65" spans="1:1" x14ac:dyDescent="0.6">
      <c r="A65" s="25" t="s">
        <v>8</v>
      </c>
    </row>
    <row r="66" spans="1:1" x14ac:dyDescent="0.6">
      <c r="A66" s="25" t="s">
        <v>657</v>
      </c>
    </row>
    <row r="67" spans="1:1" x14ac:dyDescent="0.6">
      <c r="A67" s="12" t="s">
        <v>24</v>
      </c>
    </row>
  </sheetData>
  <phoneticPr fontId="5" type="noConversion"/>
  <printOptions horizontalCentered="1"/>
  <pageMargins left="0.75" right="0.75" top="1" bottom="1" header="0.5" footer="0.5"/>
  <pageSetup scale="62" orientation="landscape" r:id="rId1"/>
  <headerFooter alignWithMargins="0">
    <oddFooter>&amp;L&amp;F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pageSetUpPr fitToPage="1"/>
  </sheetPr>
  <dimension ref="A1:H60"/>
  <sheetViews>
    <sheetView zoomScale="70" workbookViewId="0"/>
  </sheetViews>
  <sheetFormatPr defaultRowHeight="13" x14ac:dyDescent="0.6"/>
  <cols>
    <col min="1" max="1" width="27.08984375" customWidth="1"/>
    <col min="2" max="2" width="9.6796875" customWidth="1"/>
    <col min="3" max="3" width="25.6796875" customWidth="1"/>
    <col min="4" max="4" width="18.31640625" customWidth="1"/>
    <col min="5" max="8" width="11.6796875" customWidth="1"/>
  </cols>
  <sheetData>
    <row r="1" spans="1:8" ht="15.5" x14ac:dyDescent="0.7">
      <c r="A1" s="158" t="s">
        <v>709</v>
      </c>
      <c r="B1" s="158"/>
      <c r="C1" s="158"/>
      <c r="D1" s="158"/>
    </row>
    <row r="2" spans="1:8" ht="15.5" x14ac:dyDescent="0.7">
      <c r="A2" s="158" t="s">
        <v>787</v>
      </c>
      <c r="B2" s="443"/>
      <c r="C2" s="443"/>
      <c r="D2" s="443"/>
    </row>
    <row r="3" spans="1:8" ht="39" x14ac:dyDescent="0.6">
      <c r="A3" s="444" t="s">
        <v>396</v>
      </c>
      <c r="B3" s="445" t="s">
        <v>399</v>
      </c>
      <c r="C3" s="444" t="s">
        <v>397</v>
      </c>
      <c r="D3" s="444" t="s">
        <v>348</v>
      </c>
      <c r="E3" s="168" t="s">
        <v>420</v>
      </c>
      <c r="F3" s="168" t="s">
        <v>421</v>
      </c>
      <c r="G3" s="168" t="s">
        <v>417</v>
      </c>
      <c r="H3" s="168" t="s">
        <v>416</v>
      </c>
    </row>
    <row r="4" spans="1:8" x14ac:dyDescent="0.6">
      <c r="A4" s="25" t="s">
        <v>422</v>
      </c>
      <c r="B4" t="s">
        <v>407</v>
      </c>
      <c r="C4" t="s">
        <v>398</v>
      </c>
      <c r="D4" t="s">
        <v>278</v>
      </c>
      <c r="E4" s="6">
        <v>579796.28820401081</v>
      </c>
      <c r="F4" s="234">
        <v>0.4</v>
      </c>
      <c r="G4" s="6">
        <f>E4*F4</f>
        <v>231918.51528160434</v>
      </c>
      <c r="H4" s="6">
        <f>E4*(1-F4)</f>
        <v>347877.7729224065</v>
      </c>
    </row>
    <row r="5" spans="1:8" x14ac:dyDescent="0.6">
      <c r="D5" t="s">
        <v>373</v>
      </c>
      <c r="E5" s="6">
        <v>207628.32847426183</v>
      </c>
      <c r="F5" s="234">
        <v>0.4</v>
      </c>
      <c r="G5" s="6">
        <f>E5*F5</f>
        <v>83051.331389704734</v>
      </c>
      <c r="H5" s="6">
        <f>E5*(1-F5)</f>
        <v>124576.99708455709</v>
      </c>
    </row>
    <row r="6" spans="1:8" x14ac:dyDescent="0.6">
      <c r="D6" t="s">
        <v>279</v>
      </c>
      <c r="E6" s="6">
        <v>12111.244287951649</v>
      </c>
      <c r="F6" s="234">
        <v>0.4</v>
      </c>
      <c r="G6" s="6">
        <f>E6*F6</f>
        <v>4844.4977151806597</v>
      </c>
      <c r="H6" s="6">
        <f>E6*(1-F6)</f>
        <v>7266.7465727709896</v>
      </c>
    </row>
    <row r="7" spans="1:8" x14ac:dyDescent="0.6">
      <c r="E7" s="6"/>
      <c r="G7" s="6"/>
      <c r="H7" s="6"/>
    </row>
    <row r="8" spans="1:8" x14ac:dyDescent="0.6">
      <c r="B8" t="s">
        <v>408</v>
      </c>
      <c r="C8" t="s">
        <v>398</v>
      </c>
      <c r="D8" t="s">
        <v>278</v>
      </c>
      <c r="E8" s="6">
        <v>95883.920701038733</v>
      </c>
      <c r="F8" s="234">
        <v>0.4</v>
      </c>
      <c r="G8" s="6">
        <f>E8*F8</f>
        <v>38353.568280415493</v>
      </c>
      <c r="H8" s="6">
        <f>E8*(1-F8)</f>
        <v>57530.35242062324</v>
      </c>
    </row>
    <row r="9" spans="1:8" x14ac:dyDescent="0.6">
      <c r="D9" t="s">
        <v>373</v>
      </c>
      <c r="E9" s="6">
        <v>4326.9255674680226</v>
      </c>
      <c r="F9" s="234">
        <v>0.4</v>
      </c>
      <c r="G9" s="6">
        <f>E9*F9</f>
        <v>1730.7702269872091</v>
      </c>
      <c r="H9" s="6">
        <f>E9*(1-F9)</f>
        <v>2596.1553404808133</v>
      </c>
    </row>
    <row r="10" spans="1:8" x14ac:dyDescent="0.6">
      <c r="D10" t="s">
        <v>279</v>
      </c>
      <c r="E10" s="6">
        <v>132484.04136249324</v>
      </c>
      <c r="F10" s="234">
        <v>0.4</v>
      </c>
      <c r="G10" s="6">
        <f>E10*F10</f>
        <v>52993.616544997298</v>
      </c>
      <c r="H10" s="6">
        <f>E10*(1-F10)</f>
        <v>79490.424817495936</v>
      </c>
    </row>
    <row r="11" spans="1:8" x14ac:dyDescent="0.6">
      <c r="E11" s="6"/>
      <c r="G11" s="6"/>
      <c r="H11" s="6"/>
    </row>
    <row r="12" spans="1:8" x14ac:dyDescent="0.6">
      <c r="B12" t="s">
        <v>407</v>
      </c>
      <c r="C12" s="12" t="s">
        <v>49</v>
      </c>
      <c r="D12" t="s">
        <v>373</v>
      </c>
      <c r="E12" s="6">
        <v>22101.146957065877</v>
      </c>
      <c r="F12" s="234">
        <v>0.4</v>
      </c>
      <c r="G12" s="6">
        <f>E12*F12</f>
        <v>8840.458782826352</v>
      </c>
      <c r="H12" s="6">
        <f>E12*(1-F12)</f>
        <v>13260.688174239525</v>
      </c>
    </row>
    <row r="13" spans="1:8" x14ac:dyDescent="0.6">
      <c r="C13" s="12" t="s">
        <v>660</v>
      </c>
      <c r="D13" t="s">
        <v>279</v>
      </c>
      <c r="E13" s="6">
        <v>706768.76107424661</v>
      </c>
      <c r="F13" s="234">
        <v>0.4</v>
      </c>
      <c r="G13" s="6">
        <f>E13*F13</f>
        <v>282707.50442969863</v>
      </c>
      <c r="H13" s="6">
        <f>E13*(1-F13)</f>
        <v>424061.25664454798</v>
      </c>
    </row>
    <row r="14" spans="1:8" x14ac:dyDescent="0.6">
      <c r="E14" s="6"/>
      <c r="F14" s="234"/>
      <c r="G14" s="6"/>
      <c r="H14" s="6"/>
    </row>
    <row r="15" spans="1:8" x14ac:dyDescent="0.6">
      <c r="B15" t="s">
        <v>400</v>
      </c>
      <c r="C15" s="12" t="s">
        <v>49</v>
      </c>
      <c r="D15" t="s">
        <v>373</v>
      </c>
      <c r="E15" s="6">
        <v>3833.1437748682665</v>
      </c>
      <c r="F15" s="234">
        <v>0.4</v>
      </c>
      <c r="G15" s="6">
        <f>E15*F15</f>
        <v>1533.2575099473067</v>
      </c>
      <c r="H15" s="6">
        <f>E15*(1-F15)</f>
        <v>2299.88626492096</v>
      </c>
    </row>
    <row r="16" spans="1:8" x14ac:dyDescent="0.6">
      <c r="B16" s="283"/>
      <c r="C16" s="325" t="s">
        <v>49</v>
      </c>
      <c r="D16" s="283" t="s">
        <v>279</v>
      </c>
      <c r="E16" s="10">
        <v>21720.375656521173</v>
      </c>
      <c r="F16" s="448">
        <v>0.4</v>
      </c>
      <c r="G16" s="10">
        <f>E16*F16</f>
        <v>8688.1502626084693</v>
      </c>
      <c r="H16" s="10">
        <f>E16*(1-F16)</f>
        <v>13032.225393912704</v>
      </c>
    </row>
    <row r="17" spans="1:8" x14ac:dyDescent="0.6">
      <c r="D17" s="447" t="s">
        <v>406</v>
      </c>
      <c r="E17" s="6">
        <f>SUM(E4:E16)</f>
        <v>1786654.1760599262</v>
      </c>
      <c r="G17" s="6">
        <f>SUM(G4:G16)</f>
        <v>714661.67042397056</v>
      </c>
      <c r="H17" s="6">
        <f>SUM(H4:H16)</f>
        <v>1071992.5056359558</v>
      </c>
    </row>
    <row r="18" spans="1:8" ht="5.15" customHeight="1" x14ac:dyDescent="0.6"/>
    <row r="19" spans="1:8" x14ac:dyDescent="0.6">
      <c r="A19" s="25" t="s">
        <v>423</v>
      </c>
      <c r="B19" t="s">
        <v>407</v>
      </c>
      <c r="C19" t="s">
        <v>398</v>
      </c>
      <c r="D19" t="s">
        <v>278</v>
      </c>
      <c r="E19" s="6">
        <v>30515.594116000604</v>
      </c>
      <c r="F19" s="234">
        <v>0.23</v>
      </c>
      <c r="G19" s="6">
        <f>E19*F19</f>
        <v>7018.586646680139</v>
      </c>
      <c r="H19" s="6">
        <f>E19*(1-F19)</f>
        <v>23497.007469320466</v>
      </c>
    </row>
    <row r="20" spans="1:8" x14ac:dyDescent="0.6">
      <c r="D20" t="s">
        <v>373</v>
      </c>
      <c r="E20" s="6">
        <v>10927.806761803266</v>
      </c>
      <c r="F20" s="234">
        <v>0.23</v>
      </c>
      <c r="G20" s="6">
        <f>E20*F20</f>
        <v>2513.3955552147513</v>
      </c>
      <c r="H20" s="6">
        <f>E20*(1-F20)</f>
        <v>8414.4112065885147</v>
      </c>
    </row>
    <row r="21" spans="1:8" x14ac:dyDescent="0.6">
      <c r="D21" t="s">
        <v>279</v>
      </c>
      <c r="E21" s="6">
        <v>637.43390989219279</v>
      </c>
      <c r="F21" s="234">
        <v>0.23</v>
      </c>
      <c r="G21" s="6">
        <f>E21*F21</f>
        <v>146.60979927520435</v>
      </c>
      <c r="H21" s="6">
        <f>E21*(1-F21)</f>
        <v>490.82411061698843</v>
      </c>
    </row>
    <row r="22" spans="1:8" x14ac:dyDescent="0.6">
      <c r="E22" s="6"/>
      <c r="F22" s="6"/>
      <c r="G22" s="6"/>
      <c r="H22" s="6"/>
    </row>
    <row r="23" spans="1:8" x14ac:dyDescent="0.6">
      <c r="B23" t="s">
        <v>408</v>
      </c>
      <c r="C23" t="s">
        <v>398</v>
      </c>
      <c r="D23" t="s">
        <v>278</v>
      </c>
      <c r="E23" s="6">
        <v>5046.5221421599381</v>
      </c>
      <c r="F23" s="234">
        <v>0.23</v>
      </c>
      <c r="G23" s="6">
        <f>E23*F23</f>
        <v>1160.7000926967858</v>
      </c>
      <c r="H23" s="6">
        <f>E23*(1-F23)</f>
        <v>3885.8220494631523</v>
      </c>
    </row>
    <row r="24" spans="1:8" x14ac:dyDescent="0.6">
      <c r="D24" t="s">
        <v>373</v>
      </c>
      <c r="E24" s="6">
        <v>227.73292460358039</v>
      </c>
      <c r="F24" s="234">
        <v>0.23</v>
      </c>
      <c r="G24" s="6">
        <f>E24*F24</f>
        <v>52.378572658823494</v>
      </c>
      <c r="H24" s="6">
        <f>E24*(1-F24)</f>
        <v>175.3543519447569</v>
      </c>
    </row>
    <row r="25" spans="1:8" x14ac:dyDescent="0.6">
      <c r="D25" t="s">
        <v>279</v>
      </c>
      <c r="E25" s="6">
        <v>6972.8442822364941</v>
      </c>
      <c r="F25" s="234">
        <v>0.23</v>
      </c>
      <c r="G25" s="6">
        <f>E25*F25</f>
        <v>1603.7541849143938</v>
      </c>
      <c r="H25" s="6">
        <f>E25*(1-F25)</f>
        <v>5369.0900973221005</v>
      </c>
    </row>
    <row r="26" spans="1:8" x14ac:dyDescent="0.6">
      <c r="E26" s="6"/>
      <c r="F26" s="6"/>
      <c r="G26" s="6"/>
      <c r="H26" s="6"/>
    </row>
    <row r="27" spans="1:8" x14ac:dyDescent="0.6">
      <c r="B27" t="s">
        <v>407</v>
      </c>
      <c r="C27" s="12" t="s">
        <v>49</v>
      </c>
      <c r="D27" t="s">
        <v>373</v>
      </c>
      <c r="E27" s="6">
        <v>1163.2182608982052</v>
      </c>
      <c r="F27" s="234">
        <v>0.23</v>
      </c>
      <c r="G27" s="6">
        <f>E27*F27</f>
        <v>267.54020000658721</v>
      </c>
      <c r="H27" s="6">
        <f>E27*(1-F27)</f>
        <v>895.67806089161809</v>
      </c>
    </row>
    <row r="28" spans="1:8" x14ac:dyDescent="0.6">
      <c r="C28" s="12" t="s">
        <v>661</v>
      </c>
      <c r="D28" t="s">
        <v>279</v>
      </c>
      <c r="E28" s="6">
        <v>0</v>
      </c>
      <c r="F28" s="234">
        <v>0.23</v>
      </c>
      <c r="G28" s="6">
        <f>E28*F28</f>
        <v>0</v>
      </c>
      <c r="H28" s="6">
        <f>E28*(1-F28)</f>
        <v>0</v>
      </c>
    </row>
    <row r="29" spans="1:8" x14ac:dyDescent="0.6">
      <c r="E29" s="6"/>
      <c r="F29" s="234"/>
      <c r="G29" s="6"/>
      <c r="H29" s="6"/>
    </row>
    <row r="30" spans="1:8" x14ac:dyDescent="0.6">
      <c r="B30" t="s">
        <v>400</v>
      </c>
      <c r="C30" s="12" t="s">
        <v>49</v>
      </c>
      <c r="D30" t="s">
        <v>373</v>
      </c>
      <c r="E30" s="6">
        <v>201.74440920359316</v>
      </c>
      <c r="F30" s="234">
        <v>0.23</v>
      </c>
      <c r="G30" s="6">
        <f>E30*F30</f>
        <v>46.401214116826431</v>
      </c>
      <c r="H30" s="6">
        <f>E30*(1-F30)</f>
        <v>155.34319508676674</v>
      </c>
    </row>
    <row r="31" spans="1:8" x14ac:dyDescent="0.6">
      <c r="B31" s="283"/>
      <c r="C31" s="325" t="s">
        <v>49</v>
      </c>
      <c r="D31" s="283" t="s">
        <v>279</v>
      </c>
      <c r="E31" s="10">
        <v>1143.1776661326946</v>
      </c>
      <c r="F31" s="448">
        <v>0.23</v>
      </c>
      <c r="G31" s="10">
        <f>E31*F31</f>
        <v>262.93086321051976</v>
      </c>
      <c r="H31" s="10">
        <f>E31*(1-F31)</f>
        <v>880.24680292217488</v>
      </c>
    </row>
    <row r="32" spans="1:8" x14ac:dyDescent="0.6">
      <c r="D32" s="447" t="s">
        <v>405</v>
      </c>
      <c r="E32" s="6">
        <f>SUM(E19:E31)</f>
        <v>56836.074472930573</v>
      </c>
      <c r="F32" s="6"/>
      <c r="G32" s="6">
        <f>SUM(G19:G31)</f>
        <v>13072.297128774031</v>
      </c>
      <c r="H32" s="6">
        <f>SUM(H19:H31)</f>
        <v>43763.777344156537</v>
      </c>
    </row>
    <row r="33" spans="1:8" ht="5.15" customHeight="1" x14ac:dyDescent="0.6"/>
    <row r="34" spans="1:8" x14ac:dyDescent="0.6">
      <c r="A34" s="25" t="s">
        <v>424</v>
      </c>
      <c r="B34" t="s">
        <v>407</v>
      </c>
      <c r="C34" s="12" t="s">
        <v>409</v>
      </c>
      <c r="D34" t="s">
        <v>373</v>
      </c>
      <c r="E34" s="6">
        <v>862405.57213811134</v>
      </c>
      <c r="F34" s="234">
        <v>0.4</v>
      </c>
      <c r="G34" s="6">
        <f>E34*F34</f>
        <v>344962.22885524458</v>
      </c>
      <c r="H34" s="6">
        <f>E34*(1-F34)</f>
        <v>517443.34328286676</v>
      </c>
    </row>
    <row r="35" spans="1:8" x14ac:dyDescent="0.6">
      <c r="E35" s="6"/>
      <c r="F35" s="6"/>
      <c r="G35" s="6"/>
      <c r="H35" s="6"/>
    </row>
    <row r="36" spans="1:8" x14ac:dyDescent="0.6">
      <c r="B36" t="s">
        <v>400</v>
      </c>
      <c r="C36" t="s">
        <v>409</v>
      </c>
      <c r="D36" t="s">
        <v>373</v>
      </c>
      <c r="E36" s="6">
        <v>85290.248465953162</v>
      </c>
      <c r="F36" s="234">
        <v>0.4</v>
      </c>
      <c r="G36" s="6">
        <f>E36*F36</f>
        <v>34116.099386381269</v>
      </c>
      <c r="H36" s="6">
        <f>E36*(1-F36)</f>
        <v>51174.149079571893</v>
      </c>
    </row>
    <row r="37" spans="1:8" x14ac:dyDescent="0.6">
      <c r="B37" s="283"/>
      <c r="C37" s="283"/>
      <c r="D37" s="283" t="s">
        <v>279</v>
      </c>
      <c r="E37" s="10">
        <v>251488.74022418557</v>
      </c>
      <c r="F37" s="448">
        <v>0.4</v>
      </c>
      <c r="G37" s="10">
        <f>E37*F37</f>
        <v>100595.49608967424</v>
      </c>
      <c r="H37" s="10">
        <f>E37*(1-F37)</f>
        <v>150893.24413451133</v>
      </c>
    </row>
    <row r="38" spans="1:8" x14ac:dyDescent="0.6">
      <c r="D38" s="447" t="s">
        <v>413</v>
      </c>
      <c r="E38" s="6">
        <f>SUM(E34:E37)</f>
        <v>1199184.5608282501</v>
      </c>
      <c r="F38" s="6"/>
      <c r="G38" s="6">
        <f>SUM(G34:G37)</f>
        <v>479673.8243313001</v>
      </c>
      <c r="H38" s="6">
        <f>SUM(H34:H37)</f>
        <v>719510.73649695003</v>
      </c>
    </row>
    <row r="39" spans="1:8" ht="5.15" customHeight="1" x14ac:dyDescent="0.6">
      <c r="D39" s="447"/>
      <c r="E39" s="6"/>
      <c r="F39" s="6"/>
      <c r="G39" s="6"/>
      <c r="H39" s="6"/>
    </row>
    <row r="40" spans="1:8" x14ac:dyDescent="0.6">
      <c r="D40" s="447" t="s">
        <v>428</v>
      </c>
      <c r="E40" s="6">
        <f>SUM(E17,E32,E38)</f>
        <v>3042674.811361107</v>
      </c>
      <c r="F40" s="6"/>
      <c r="G40" s="6">
        <f>SUM(G17,G32,G38)</f>
        <v>1207407.7918840447</v>
      </c>
      <c r="H40" s="6">
        <f>SUM(H17,H32,H38)</f>
        <v>1835267.0194770624</v>
      </c>
    </row>
    <row r="41" spans="1:8" ht="5.15" customHeight="1" x14ac:dyDescent="0.6">
      <c r="D41" s="447"/>
      <c r="E41" s="6"/>
      <c r="F41" s="6"/>
      <c r="G41" s="6"/>
      <c r="H41" s="6"/>
    </row>
    <row r="42" spans="1:8" x14ac:dyDescent="0.6">
      <c r="D42" s="12" t="s">
        <v>418</v>
      </c>
      <c r="E42" s="6"/>
      <c r="F42" s="6"/>
      <c r="G42" s="6"/>
      <c r="H42" s="6"/>
    </row>
    <row r="43" spans="1:8" x14ac:dyDescent="0.6">
      <c r="D43" s="14" t="s">
        <v>425</v>
      </c>
      <c r="E43" s="6"/>
      <c r="F43" s="6"/>
      <c r="G43" s="6"/>
      <c r="H43" s="6">
        <v>35950.962</v>
      </c>
    </row>
    <row r="44" spans="1:8" x14ac:dyDescent="0.6">
      <c r="D44" s="451" t="s">
        <v>426</v>
      </c>
      <c r="E44" s="10"/>
      <c r="F44" s="10"/>
      <c r="G44" s="10"/>
      <c r="H44" s="10">
        <v>13821.716765646408</v>
      </c>
    </row>
    <row r="45" spans="1:8" x14ac:dyDescent="0.6">
      <c r="D45" s="447" t="s">
        <v>427</v>
      </c>
      <c r="E45" s="6"/>
      <c r="F45" s="6"/>
      <c r="G45" s="6"/>
      <c r="H45" s="6">
        <f>SUM(H43:H44)</f>
        <v>49772.678765646408</v>
      </c>
    </row>
    <row r="46" spans="1:8" ht="5.15" customHeight="1" x14ac:dyDescent="0.6">
      <c r="D46" s="447"/>
      <c r="E46" s="6"/>
      <c r="F46" s="6"/>
      <c r="G46" s="6"/>
      <c r="H46" s="6"/>
    </row>
    <row r="47" spans="1:8" x14ac:dyDescent="0.6">
      <c r="D47" s="459" t="s">
        <v>429</v>
      </c>
      <c r="E47" s="6">
        <f>E40+E45</f>
        <v>3042674.811361107</v>
      </c>
      <c r="F47" s="6"/>
      <c r="G47" s="6">
        <f>G40+G45</f>
        <v>1207407.7918840447</v>
      </c>
      <c r="H47" s="6">
        <f>H40+H45</f>
        <v>1885039.6982427088</v>
      </c>
    </row>
    <row r="48" spans="1:8" hidden="1" x14ac:dyDescent="0.6">
      <c r="D48" s="447"/>
      <c r="E48" s="6"/>
      <c r="F48" s="6"/>
      <c r="G48" s="6"/>
      <c r="H48" s="6"/>
    </row>
    <row r="49" spans="1:8" hidden="1" x14ac:dyDescent="0.6">
      <c r="D49" s="447" t="s">
        <v>191</v>
      </c>
      <c r="E49" s="143">
        <v>0</v>
      </c>
      <c r="F49" s="240"/>
      <c r="G49" s="143">
        <v>0</v>
      </c>
      <c r="H49" s="143">
        <v>0</v>
      </c>
    </row>
    <row r="50" spans="1:8" hidden="1" x14ac:dyDescent="0.6">
      <c r="D50" s="447"/>
      <c r="E50" s="143">
        <v>0</v>
      </c>
      <c r="F50" s="240"/>
      <c r="G50" s="143">
        <v>0</v>
      </c>
      <c r="H50" s="143">
        <v>0</v>
      </c>
    </row>
    <row r="51" spans="1:8" hidden="1" x14ac:dyDescent="0.6">
      <c r="D51" s="447"/>
      <c r="E51" s="143">
        <v>0</v>
      </c>
      <c r="F51" s="240"/>
      <c r="G51" s="143">
        <v>0</v>
      </c>
      <c r="H51" s="143">
        <v>0</v>
      </c>
    </row>
    <row r="52" spans="1:8" hidden="1" x14ac:dyDescent="0.6">
      <c r="D52" s="447"/>
      <c r="E52" s="6"/>
      <c r="F52" s="6"/>
      <c r="G52" s="6"/>
      <c r="H52" s="143">
        <v>0</v>
      </c>
    </row>
    <row r="53" spans="1:8" x14ac:dyDescent="0.6">
      <c r="A53" s="141"/>
      <c r="B53" s="283"/>
      <c r="C53" s="293"/>
      <c r="D53" s="293"/>
      <c r="E53" s="293"/>
      <c r="F53" s="38"/>
      <c r="G53" s="38"/>
      <c r="H53" s="38"/>
    </row>
    <row r="54" spans="1:8" x14ac:dyDescent="0.6">
      <c r="A54" s="11" t="s">
        <v>235</v>
      </c>
      <c r="C54" s="64"/>
      <c r="D54" s="64"/>
      <c r="E54" s="64"/>
      <c r="F54" s="64"/>
      <c r="G54" s="64"/>
      <c r="H54" s="64"/>
    </row>
    <row r="55" spans="1:8" x14ac:dyDescent="0.6">
      <c r="A55" s="25" t="s">
        <v>811</v>
      </c>
      <c r="C55" s="64"/>
      <c r="D55" s="64"/>
      <c r="E55" s="64"/>
      <c r="F55" s="64"/>
      <c r="G55" s="64"/>
      <c r="H55" s="64"/>
    </row>
    <row r="56" spans="1:8" x14ac:dyDescent="0.6">
      <c r="A56" s="25" t="s">
        <v>430</v>
      </c>
    </row>
    <row r="57" spans="1:8" x14ac:dyDescent="0.6">
      <c r="A57" s="25" t="s">
        <v>50</v>
      </c>
    </row>
    <row r="58" spans="1:8" x14ac:dyDescent="0.6">
      <c r="A58" s="25" t="s">
        <v>659</v>
      </c>
    </row>
    <row r="59" spans="1:8" x14ac:dyDescent="0.6">
      <c r="A59" s="25" t="s">
        <v>38</v>
      </c>
    </row>
    <row r="60" spans="1:8" x14ac:dyDescent="0.6">
      <c r="A60" s="25" t="s">
        <v>662</v>
      </c>
    </row>
  </sheetData>
  <phoneticPr fontId="5" type="noConversion"/>
  <printOptions horizontalCentered="1"/>
  <pageMargins left="0.75" right="0.75" top="1" bottom="1" header="0.5" footer="0.5"/>
  <pageSetup scale="69" orientation="landscape"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Q51"/>
  <sheetViews>
    <sheetView zoomScale="70" workbookViewId="0"/>
  </sheetViews>
  <sheetFormatPr defaultRowHeight="13" x14ac:dyDescent="0.6"/>
  <cols>
    <col min="1" max="1" width="50" customWidth="1"/>
    <col min="2" max="2" width="11.6796875" customWidth="1"/>
    <col min="3" max="3" width="3.453125" customWidth="1"/>
    <col min="4" max="4" width="11.6796875" customWidth="1"/>
    <col min="5" max="5" width="3.453125" customWidth="1"/>
    <col min="6" max="6" width="11.6796875" customWidth="1"/>
    <col min="7" max="7" width="3.453125" customWidth="1"/>
    <col min="8" max="8" width="11.6796875" customWidth="1"/>
    <col min="9" max="9" width="3.453125" customWidth="1"/>
    <col min="10" max="10" width="11.6796875" customWidth="1"/>
  </cols>
  <sheetData>
    <row r="1" spans="1:17" s="13" customFormat="1" ht="15.5" x14ac:dyDescent="0.7">
      <c r="A1" s="157" t="s">
        <v>547</v>
      </c>
      <c r="B1" s="19"/>
      <c r="C1" s="19"/>
      <c r="D1" s="19"/>
      <c r="E1" s="19"/>
      <c r="F1" s="19"/>
      <c r="G1" s="19"/>
      <c r="H1" s="19"/>
      <c r="I1" s="19"/>
      <c r="J1" s="19"/>
    </row>
    <row r="2" spans="1:17" s="13" customFormat="1" ht="15.5" x14ac:dyDescent="0.7">
      <c r="A2" s="158" t="s">
        <v>787</v>
      </c>
      <c r="B2" s="19"/>
      <c r="C2" s="19"/>
      <c r="D2" s="19"/>
      <c r="E2" s="19"/>
      <c r="F2" s="19"/>
      <c r="G2" s="19"/>
      <c r="H2" s="19"/>
      <c r="I2" s="19"/>
      <c r="J2" s="19"/>
    </row>
    <row r="3" spans="1:17" ht="26" x14ac:dyDescent="0.6">
      <c r="B3" s="168" t="s">
        <v>109</v>
      </c>
      <c r="C3" s="168"/>
      <c r="D3" s="169" t="s">
        <v>104</v>
      </c>
      <c r="E3" s="169"/>
      <c r="F3" s="168" t="s">
        <v>110</v>
      </c>
      <c r="G3" s="168"/>
      <c r="H3" s="170" t="s">
        <v>97</v>
      </c>
      <c r="I3" s="170"/>
      <c r="J3" s="171" t="s">
        <v>105</v>
      </c>
    </row>
    <row r="4" spans="1:17" ht="12.75" customHeight="1" x14ac:dyDescent="0.6">
      <c r="A4" s="333"/>
      <c r="B4" s="27"/>
      <c r="C4" s="27"/>
      <c r="D4" s="27"/>
      <c r="E4" s="27"/>
      <c r="F4" s="27"/>
      <c r="G4" s="27"/>
      <c r="H4" s="27"/>
      <c r="I4" s="27"/>
      <c r="J4" s="27"/>
    </row>
    <row r="5" spans="1:17" ht="12.75" customHeight="1" x14ac:dyDescent="0.6">
      <c r="A5" s="493" t="s">
        <v>574</v>
      </c>
      <c r="B5" s="32"/>
      <c r="C5" s="27"/>
      <c r="D5" s="488"/>
      <c r="E5" s="27"/>
      <c r="F5" s="489"/>
      <c r="G5" s="27"/>
      <c r="H5" s="27"/>
      <c r="I5" s="27"/>
      <c r="J5" s="27"/>
    </row>
    <row r="6" spans="1:17" ht="12.75" customHeight="1" x14ac:dyDescent="0.6">
      <c r="A6" s="353" t="s">
        <v>524</v>
      </c>
      <c r="B6" s="32">
        <f>'Table 3.3-PARS Fwd Summary'!B10</f>
        <v>707655.96424999996</v>
      </c>
      <c r="C6" s="241"/>
      <c r="D6" s="488">
        <f>F6/B6</f>
        <v>0.11914217097020177</v>
      </c>
      <c r="E6" s="27"/>
      <c r="F6" s="494">
        <f>'Table 3.3-PARS Fwd Summary'!F10</f>
        <v>84311.667880756489</v>
      </c>
      <c r="G6" s="241"/>
      <c r="H6" s="134">
        <f>B6/$B$34</f>
        <v>0.86366840439353598</v>
      </c>
      <c r="I6" s="27"/>
      <c r="J6" s="500">
        <f>D6*H6</f>
        <v>0.10289932869781603</v>
      </c>
      <c r="M6" s="27"/>
      <c r="N6" s="27"/>
      <c r="O6" s="27"/>
      <c r="P6" s="27"/>
      <c r="Q6" s="27"/>
    </row>
    <row r="7" spans="1:17" ht="12.75" customHeight="1" x14ac:dyDescent="0.6">
      <c r="A7" s="353" t="s">
        <v>525</v>
      </c>
      <c r="B7" s="32">
        <f>'Table 3.3-PARS Fwd Summary'!B20</f>
        <v>37245.050750000046</v>
      </c>
      <c r="C7" s="241"/>
      <c r="D7" s="488">
        <f>F7/B7</f>
        <v>0.19528471339988537</v>
      </c>
      <c r="E7" s="27"/>
      <c r="F7" s="494">
        <f>'Table 3.3-PARS Fwd Summary'!F20</f>
        <v>7273.3890612779451</v>
      </c>
      <c r="G7" s="241"/>
      <c r="H7" s="134">
        <f>B7/$B$34</f>
        <v>4.5456231810186161E-2</v>
      </c>
      <c r="I7" s="27"/>
      <c r="J7" s="500">
        <f>D7*H7</f>
        <v>8.8769072012909577E-3</v>
      </c>
    </row>
    <row r="8" spans="1:17" ht="12.75" customHeight="1" x14ac:dyDescent="0.6">
      <c r="A8" s="353" t="s">
        <v>102</v>
      </c>
      <c r="B8" s="32">
        <f>SUM(B6:B7)</f>
        <v>744901.01500000001</v>
      </c>
      <c r="C8" s="27"/>
      <c r="D8" s="488">
        <f>F8/B8</f>
        <v>0.12294929809168596</v>
      </c>
      <c r="E8" s="27"/>
      <c r="F8" s="494">
        <f>SUM(F6:F7)</f>
        <v>91585.05694203444</v>
      </c>
      <c r="G8" s="27"/>
      <c r="H8" s="134">
        <f>B8/$B$34</f>
        <v>0.90912463620372208</v>
      </c>
      <c r="I8" s="27"/>
      <c r="J8" s="500">
        <f>SUM(J6:J7)</f>
        <v>0.11177623589910698</v>
      </c>
    </row>
    <row r="9" spans="1:17" ht="5.15" customHeight="1" x14ac:dyDescent="0.6">
      <c r="A9" s="353"/>
      <c r="B9" s="32"/>
      <c r="C9" s="27"/>
      <c r="D9" s="27"/>
      <c r="E9" s="27"/>
      <c r="F9" s="494"/>
      <c r="G9" s="27"/>
      <c r="H9" s="486"/>
      <c r="I9" s="27"/>
      <c r="J9" s="500"/>
    </row>
    <row r="10" spans="1:17" ht="12.75" customHeight="1" x14ac:dyDescent="0.6">
      <c r="A10" s="353" t="s">
        <v>517</v>
      </c>
      <c r="B10" s="32"/>
      <c r="C10" s="27"/>
      <c r="D10" s="27"/>
      <c r="E10" s="27"/>
      <c r="F10" s="494"/>
      <c r="G10" s="27"/>
      <c r="H10" s="486"/>
      <c r="I10" s="27"/>
      <c r="J10" s="500"/>
    </row>
    <row r="11" spans="1:17" ht="12.75" customHeight="1" x14ac:dyDescent="0.6">
      <c r="A11" s="501" t="s">
        <v>320</v>
      </c>
      <c r="B11" s="32">
        <f>'Table 3.3-PARS Fwd Summary'!B23</f>
        <v>744901.01500000001</v>
      </c>
      <c r="C11" s="241"/>
      <c r="D11" s="488">
        <f>F11/B11</f>
        <v>0.1091578165334228</v>
      </c>
      <c r="E11" s="27"/>
      <c r="F11" s="494">
        <f>'Table 3.3-PARS Fwd Summary'!F23</f>
        <v>81311.768330930427</v>
      </c>
      <c r="G11" s="241"/>
      <c r="H11" s="134">
        <f>B11/$B$34</f>
        <v>0.90912463620372208</v>
      </c>
      <c r="I11" s="27"/>
      <c r="J11" s="500">
        <f>D11*H11</f>
        <v>9.9238060244740633E-2</v>
      </c>
    </row>
    <row r="12" spans="1:17" ht="12.75" customHeight="1" x14ac:dyDescent="0.6">
      <c r="A12" s="501" t="s">
        <v>99</v>
      </c>
      <c r="B12" s="32">
        <f>'Table 3.3-PARS Fwd Summary'!B24</f>
        <v>0</v>
      </c>
      <c r="C12" s="241"/>
      <c r="D12" s="488">
        <v>0</v>
      </c>
      <c r="E12" s="27"/>
      <c r="F12" s="494">
        <f>'Table 3.3-PARS Fwd Summary'!F24</f>
        <v>0</v>
      </c>
      <c r="G12" s="27"/>
      <c r="H12" s="134">
        <f>B12/$B$34</f>
        <v>0</v>
      </c>
      <c r="I12" s="27"/>
      <c r="J12" s="500">
        <f>D12*H12</f>
        <v>0</v>
      </c>
    </row>
    <row r="13" spans="1:17" ht="12.75" customHeight="1" x14ac:dyDescent="0.6">
      <c r="A13" s="501" t="s">
        <v>100</v>
      </c>
      <c r="B13" s="32">
        <f>'Table 3.3-PARS Fwd Summary'!B25</f>
        <v>0</v>
      </c>
      <c r="C13" s="27"/>
      <c r="D13" s="488">
        <v>0</v>
      </c>
      <c r="E13" s="27"/>
      <c r="F13" s="494">
        <f>'Table 3.3-PARS Fwd Summary'!F25</f>
        <v>0</v>
      </c>
      <c r="G13" s="27"/>
      <c r="H13" s="134">
        <f>B13/$B$34</f>
        <v>0</v>
      </c>
      <c r="I13" s="27"/>
      <c r="J13" s="500">
        <f>D13*H13</f>
        <v>0</v>
      </c>
    </row>
    <row r="14" spans="1:17" ht="12.75" customHeight="1" x14ac:dyDescent="0.6">
      <c r="A14" s="502" t="s">
        <v>210</v>
      </c>
      <c r="B14" s="32">
        <f>'Table 3.3-PARS Fwd Summary'!B26</f>
        <v>0</v>
      </c>
      <c r="C14" s="27"/>
      <c r="D14" s="488">
        <v>0</v>
      </c>
      <c r="E14" s="27"/>
      <c r="F14" s="494">
        <f>'Table 3.3-PARS Fwd Summary'!F26</f>
        <v>0</v>
      </c>
      <c r="G14" s="27"/>
      <c r="H14" s="134">
        <f>B14/$B$34</f>
        <v>0</v>
      </c>
      <c r="I14" s="27"/>
      <c r="J14" s="500">
        <f>D14*H14</f>
        <v>0</v>
      </c>
    </row>
    <row r="15" spans="1:17" ht="12.75" customHeight="1" x14ac:dyDescent="0.6">
      <c r="A15" s="503" t="s">
        <v>102</v>
      </c>
      <c r="B15" s="32">
        <f>B11</f>
        <v>744901.01500000001</v>
      </c>
      <c r="C15" s="27"/>
      <c r="D15" s="488">
        <f>F15/B15</f>
        <v>0.1091578165334228</v>
      </c>
      <c r="E15" s="27"/>
      <c r="F15" s="494">
        <f>SUM(F11:F14)</f>
        <v>81311.768330930427</v>
      </c>
      <c r="G15" s="27"/>
      <c r="H15" s="134">
        <f>B15/$B$34</f>
        <v>0.90912463620372208</v>
      </c>
      <c r="I15" s="27"/>
      <c r="J15" s="500">
        <f>SUM(J11:J14)</f>
        <v>9.9238060244740633E-2</v>
      </c>
    </row>
    <row r="16" spans="1:17" ht="5.15" customHeight="1" x14ac:dyDescent="0.6">
      <c r="A16" s="353"/>
      <c r="B16" s="32"/>
      <c r="C16" s="27"/>
      <c r="D16" s="27"/>
      <c r="E16" s="27"/>
      <c r="F16" s="494"/>
      <c r="G16" s="27"/>
      <c r="H16" s="486"/>
      <c r="I16" s="27"/>
      <c r="J16" s="500"/>
    </row>
    <row r="17" spans="1:10" ht="12.75" customHeight="1" x14ac:dyDescent="0.6">
      <c r="A17" s="353" t="s">
        <v>504</v>
      </c>
      <c r="B17" s="32">
        <f>B8</f>
        <v>744901.01500000001</v>
      </c>
      <c r="C17" s="27"/>
      <c r="D17" s="488">
        <f>F17/B17</f>
        <v>0.23210711462510877</v>
      </c>
      <c r="E17" s="27"/>
      <c r="F17" s="494">
        <f>SUM(F8,F15)</f>
        <v>172896.82527296487</v>
      </c>
      <c r="G17" s="27"/>
      <c r="H17" s="134">
        <f>B17/$B$34</f>
        <v>0.90912463620372208</v>
      </c>
      <c r="I17" s="27"/>
      <c r="J17" s="500">
        <f>J8+J15</f>
        <v>0.21101429614384762</v>
      </c>
    </row>
    <row r="18" spans="1:10" ht="12.75" customHeight="1" x14ac:dyDescent="0.6">
      <c r="A18" s="241"/>
      <c r="B18" s="32"/>
      <c r="C18" s="27"/>
      <c r="D18" s="27"/>
      <c r="E18" s="27"/>
      <c r="F18" s="494"/>
      <c r="G18" s="27"/>
      <c r="H18" s="486"/>
      <c r="I18" s="27"/>
      <c r="J18" s="500"/>
    </row>
    <row r="19" spans="1:10" ht="12.75" customHeight="1" x14ac:dyDescent="0.6">
      <c r="A19" s="333" t="s">
        <v>479</v>
      </c>
      <c r="B19" s="32"/>
      <c r="C19" s="27"/>
      <c r="D19" s="488"/>
      <c r="E19" s="27"/>
      <c r="F19" s="494"/>
      <c r="G19" s="27"/>
      <c r="H19" s="486"/>
      <c r="I19" s="27"/>
      <c r="J19" s="500"/>
    </row>
    <row r="20" spans="1:10" ht="12.75" customHeight="1" x14ac:dyDescent="0.6">
      <c r="A20" s="353" t="s">
        <v>526</v>
      </c>
      <c r="B20" s="32">
        <f>'Table 3.4-NonPARS Fwd Summary'!B8</f>
        <v>41577.891726989015</v>
      </c>
      <c r="C20" s="27"/>
      <c r="D20" s="488">
        <f>F20/B20</f>
        <v>0.22852381724459361</v>
      </c>
      <c r="E20" s="27"/>
      <c r="F20" s="494">
        <f>'Table 3.4-NonPARS Fwd Summary'!F8</f>
        <v>9501.5385304339379</v>
      </c>
      <c r="G20" s="27"/>
      <c r="H20" s="134">
        <f>B20/$B$34</f>
        <v>5.0744306866619904E-2</v>
      </c>
      <c r="I20" s="27"/>
      <c r="J20" s="500">
        <f>D20*H20</f>
        <v>1.1596282708591024E-2</v>
      </c>
    </row>
    <row r="21" spans="1:10" ht="12.75" customHeight="1" x14ac:dyDescent="0.6">
      <c r="A21" s="353" t="s">
        <v>527</v>
      </c>
      <c r="B21" s="32">
        <f>'Table 3.4-NonPARS Fwd Summary'!B14</f>
        <v>32881.811634490034</v>
      </c>
      <c r="C21" s="27"/>
      <c r="D21" s="488">
        <f>F21/B21</f>
        <v>0.38034923411151478</v>
      </c>
      <c r="E21" s="27"/>
      <c r="F21" s="494">
        <f>'Table 3.4-NonPARS Fwd Summary'!F14</f>
        <v>12506.57187137738</v>
      </c>
      <c r="G21" s="27"/>
      <c r="H21" s="134">
        <f>B21/$B$34</f>
        <v>4.0131056929658057E-2</v>
      </c>
      <c r="I21" s="27"/>
      <c r="J21" s="500">
        <f>D21*H21</f>
        <v>1.526381676728104E-2</v>
      </c>
    </row>
    <row r="22" spans="1:10" ht="12.75" customHeight="1" x14ac:dyDescent="0.6">
      <c r="A22" s="353" t="s">
        <v>102</v>
      </c>
      <c r="B22" s="32">
        <f>SUM(B20:B21)</f>
        <v>74459.703361479042</v>
      </c>
      <c r="C22" s="27"/>
      <c r="D22" s="488">
        <f>F22/B22</f>
        <v>0.29557075046308856</v>
      </c>
      <c r="E22" s="27"/>
      <c r="F22" s="494">
        <f>SUM(F20:F21)</f>
        <v>22008.110401811318</v>
      </c>
      <c r="G22" s="27"/>
      <c r="H22" s="134">
        <f>B22/$B$34</f>
        <v>9.0875363796277947E-2</v>
      </c>
      <c r="I22" s="27"/>
      <c r="J22" s="500">
        <f>SUM(J20:J21)</f>
        <v>2.6860099475872062E-2</v>
      </c>
    </row>
    <row r="23" spans="1:10" ht="5.15" customHeight="1" x14ac:dyDescent="0.6">
      <c r="A23" s="353"/>
      <c r="B23" s="32"/>
      <c r="C23" s="27"/>
      <c r="D23" s="488"/>
      <c r="E23" s="27"/>
      <c r="F23" s="494"/>
      <c r="G23" s="27"/>
      <c r="H23" s="486"/>
      <c r="I23" s="27"/>
      <c r="J23" s="500"/>
    </row>
    <row r="24" spans="1:10" ht="12.75" customHeight="1" x14ac:dyDescent="0.6">
      <c r="A24" s="353" t="s">
        <v>517</v>
      </c>
      <c r="B24" s="32"/>
      <c r="C24" s="27"/>
      <c r="D24" s="488"/>
      <c r="E24" s="27"/>
      <c r="F24" s="494"/>
      <c r="G24" s="27"/>
      <c r="H24" s="486"/>
      <c r="I24" s="27"/>
      <c r="J24" s="500"/>
    </row>
    <row r="25" spans="1:10" ht="12.75" customHeight="1" x14ac:dyDescent="0.6">
      <c r="A25" s="501" t="s">
        <v>320</v>
      </c>
      <c r="B25" s="32">
        <f>'Table 3.4-NonPARS Fwd Summary'!B17</f>
        <v>74459.703361479042</v>
      </c>
      <c r="C25" s="27"/>
      <c r="D25" s="488">
        <f t="shared" ref="D25:D30" si="0">F25/B25</f>
        <v>0.39876445877267608</v>
      </c>
      <c r="E25" s="27"/>
      <c r="F25" s="494">
        <f>'Table 3.4-NonPARS Fwd Summary'!F17</f>
        <v>29691.883311314199</v>
      </c>
      <c r="G25" s="27"/>
      <c r="H25" s="134">
        <f t="shared" ref="H25:H30" si="1">B25/$B$34</f>
        <v>9.0875363796277947E-2</v>
      </c>
      <c r="I25" s="27"/>
      <c r="J25" s="500">
        <f>D25*H25</f>
        <v>3.623786525999282E-2</v>
      </c>
    </row>
    <row r="26" spans="1:10" ht="12.75" customHeight="1" x14ac:dyDescent="0.6">
      <c r="A26" s="501" t="s">
        <v>99</v>
      </c>
      <c r="B26" s="32">
        <f>'Table 3.4-NonPARS Fwd Summary'!B18</f>
        <v>1300.1834912488675</v>
      </c>
      <c r="C26" s="27"/>
      <c r="D26" s="488">
        <f t="shared" si="0"/>
        <v>2.832308689845783</v>
      </c>
      <c r="E26" s="27"/>
      <c r="F26" s="494">
        <f>'Table 3.4-NonPARS Fwd Summary'!F18</f>
        <v>3682.521000658196</v>
      </c>
      <c r="G26" s="27"/>
      <c r="H26" s="134">
        <f t="shared" si="1"/>
        <v>1.5868267322467161E-3</v>
      </c>
      <c r="I26" s="27"/>
      <c r="J26" s="500">
        <f>D26*H26</f>
        <v>4.4943831430219617E-3</v>
      </c>
    </row>
    <row r="27" spans="1:10" ht="12.75" customHeight="1" x14ac:dyDescent="0.6">
      <c r="A27" s="501" t="s">
        <v>100</v>
      </c>
      <c r="B27" s="32">
        <f>'Table 3.4-NonPARS Fwd Summary'!B19</f>
        <v>965.38385222679847</v>
      </c>
      <c r="C27" s="27"/>
      <c r="D27" s="488">
        <f t="shared" si="0"/>
        <v>0.90047096221188005</v>
      </c>
      <c r="E27" s="27"/>
      <c r="F27" s="494">
        <f>'Table 3.4-NonPARS Fwd Summary'!F19</f>
        <v>869.3001263184766</v>
      </c>
      <c r="G27" s="27"/>
      <c r="H27" s="134">
        <f t="shared" si="1"/>
        <v>1.17821593175388E-3</v>
      </c>
      <c r="I27" s="27"/>
      <c r="J27" s="500">
        <f>D27*H27</f>
        <v>1.0609492337597831E-3</v>
      </c>
    </row>
    <row r="28" spans="1:10" ht="12.75" customHeight="1" x14ac:dyDescent="0.6">
      <c r="A28" s="502" t="s">
        <v>210</v>
      </c>
      <c r="B28" s="32">
        <f>'Table 3.4-NonPARS Fwd Summary'!B20</f>
        <v>334.79963902206913</v>
      </c>
      <c r="C28" s="27"/>
      <c r="D28" s="488">
        <f t="shared" si="0"/>
        <v>0.47544155968083029</v>
      </c>
      <c r="E28" s="27"/>
      <c r="F28" s="494">
        <f>'Table 3.4-NonPARS Fwd Summary'!F20</f>
        <v>159.17766255723151</v>
      </c>
      <c r="G28" s="27"/>
      <c r="H28" s="134">
        <f t="shared" si="1"/>
        <v>4.0861080049283609E-4</v>
      </c>
      <c r="I28" s="27"/>
      <c r="J28" s="500">
        <f>D28*H28</f>
        <v>1.9427055628874656E-4</v>
      </c>
    </row>
    <row r="29" spans="1:10" ht="12.75" customHeight="1" x14ac:dyDescent="0.6">
      <c r="A29" s="502" t="s">
        <v>101</v>
      </c>
      <c r="B29" s="32">
        <f>'Table 3.4-NonPARS Fwd Summary'!B21</f>
        <v>804.33817548545846</v>
      </c>
      <c r="C29" s="27"/>
      <c r="D29" s="488">
        <f t="shared" si="0"/>
        <v>4.8793355310236199</v>
      </c>
      <c r="E29" s="27"/>
      <c r="F29" s="494">
        <f>'Table 3.4-NonPARS Fwd Summary'!F21</f>
        <v>3924.6358386049092</v>
      </c>
      <c r="G29" s="27"/>
      <c r="H29" s="134">
        <f t="shared" si="1"/>
        <v>9.8166553199418444E-4</v>
      </c>
      <c r="I29" s="27"/>
      <c r="J29" s="500">
        <f>D29*H29</f>
        <v>4.7898755098404284E-3</v>
      </c>
    </row>
    <row r="30" spans="1:10" ht="12.75" customHeight="1" x14ac:dyDescent="0.6">
      <c r="A30" s="503" t="s">
        <v>102</v>
      </c>
      <c r="B30" s="32">
        <f>B25</f>
        <v>74459.703361479042</v>
      </c>
      <c r="C30" s="27"/>
      <c r="D30" s="488">
        <f t="shared" si="0"/>
        <v>0.51474174901536551</v>
      </c>
      <c r="E30" s="27"/>
      <c r="F30" s="494">
        <f>SUM(F25:F29)</f>
        <v>38327.517939453013</v>
      </c>
      <c r="G30" s="27"/>
      <c r="H30" s="134">
        <f t="shared" si="1"/>
        <v>9.0875363796277947E-2</v>
      </c>
      <c r="I30" s="27"/>
      <c r="J30" s="500">
        <f>SUM(J25:J29)</f>
        <v>4.6777343702903734E-2</v>
      </c>
    </row>
    <row r="31" spans="1:10" ht="5.15" customHeight="1" x14ac:dyDescent="0.6">
      <c r="A31" s="353"/>
      <c r="B31" s="32"/>
      <c r="C31" s="27"/>
      <c r="D31" s="488"/>
      <c r="E31" s="27"/>
      <c r="F31" s="494"/>
      <c r="G31" s="27"/>
      <c r="H31" s="486"/>
      <c r="I31" s="27"/>
      <c r="J31" s="500"/>
    </row>
    <row r="32" spans="1:10" ht="12.75" customHeight="1" x14ac:dyDescent="0.6">
      <c r="A32" s="239" t="s">
        <v>494</v>
      </c>
      <c r="B32" s="32">
        <f>B22</f>
        <v>74459.703361479042</v>
      </c>
      <c r="C32" s="27"/>
      <c r="D32" s="488">
        <f>F32/B32</f>
        <v>0.81031249947845407</v>
      </c>
      <c r="E32" s="27"/>
      <c r="F32" s="494">
        <f>SUM(F22,F30)</f>
        <v>60335.628341264332</v>
      </c>
      <c r="G32" s="27"/>
      <c r="H32" s="134">
        <f>B32/$B$34</f>
        <v>9.0875363796277947E-2</v>
      </c>
      <c r="I32" s="27"/>
      <c r="J32" s="500">
        <f>J22+J30</f>
        <v>7.3637443178775797E-2</v>
      </c>
    </row>
    <row r="33" spans="1:11" ht="12.75" customHeight="1" x14ac:dyDescent="0.6">
      <c r="A33" s="353"/>
      <c r="B33" s="32"/>
      <c r="C33" s="27"/>
      <c r="D33" s="488"/>
      <c r="E33" s="27"/>
      <c r="F33" s="494"/>
      <c r="G33" s="27"/>
      <c r="H33" s="486"/>
      <c r="I33" s="27"/>
      <c r="J33" s="500"/>
    </row>
    <row r="34" spans="1:11" ht="12.75" customHeight="1" x14ac:dyDescent="0.6">
      <c r="A34" s="480" t="s">
        <v>269</v>
      </c>
      <c r="B34" s="505">
        <f>SUM(B17,B32)</f>
        <v>819360.718361479</v>
      </c>
      <c r="C34" s="506"/>
      <c r="D34" s="507"/>
      <c r="E34" s="506"/>
      <c r="F34" s="511">
        <f>SUM(F17,F32)</f>
        <v>233232.45361422919</v>
      </c>
      <c r="G34" s="506"/>
      <c r="H34" s="509"/>
      <c r="I34" s="506"/>
      <c r="J34" s="507">
        <f>SUM(J17,J32)</f>
        <v>0.28465173932262344</v>
      </c>
    </row>
    <row r="35" spans="1:11" ht="12.75" hidden="1" customHeight="1" x14ac:dyDescent="0.6">
      <c r="A35" s="491"/>
      <c r="B35" s="32"/>
      <c r="C35" s="27"/>
      <c r="D35" s="27"/>
      <c r="E35" s="27"/>
      <c r="F35" s="27"/>
      <c r="G35" s="27"/>
      <c r="H35" s="27"/>
      <c r="I35" s="27"/>
      <c r="J35" s="27"/>
    </row>
    <row r="36" spans="1:11" ht="12.75" hidden="1" customHeight="1" x14ac:dyDescent="0.6">
      <c r="A36" s="491"/>
      <c r="B36" s="492"/>
      <c r="C36" s="151"/>
      <c r="D36" s="151"/>
      <c r="E36" s="151"/>
      <c r="F36" s="485"/>
      <c r="G36" s="151"/>
      <c r="H36" s="486"/>
      <c r="I36" s="151"/>
      <c r="J36" s="151"/>
    </row>
    <row r="37" spans="1:11" ht="12.75" hidden="1" customHeight="1" x14ac:dyDescent="0.6">
      <c r="A37" s="14" t="s">
        <v>191</v>
      </c>
      <c r="B37" s="143">
        <v>0</v>
      </c>
      <c r="C37" s="151"/>
      <c r="D37" s="492"/>
      <c r="E37" s="151"/>
      <c r="F37" s="485"/>
      <c r="G37" s="482" t="s">
        <v>311</v>
      </c>
      <c r="H37" s="504">
        <f>SUM('Table 3.14-Route UAA'!J102,'Table 3.14-Route UAA'!J106)</f>
        <v>9629.3342512097297</v>
      </c>
      <c r="I37" s="151"/>
      <c r="J37" s="492">
        <f>'Table 3.3-PARS Fwd Summary'!J32+'Table 3.4-NonPARS Fwd Summary'!J27</f>
        <v>9629.3342512097297</v>
      </c>
      <c r="K37" s="143">
        <f t="shared" ref="K37:K44" si="2">H37-J37</f>
        <v>0</v>
      </c>
    </row>
    <row r="38" spans="1:11" ht="12.75" hidden="1" customHeight="1" x14ac:dyDescent="0.6">
      <c r="A38" s="487"/>
      <c r="B38" s="143">
        <v>0</v>
      </c>
      <c r="C38" s="27"/>
      <c r="D38" s="488"/>
      <c r="E38" s="27"/>
      <c r="F38" s="485"/>
      <c r="G38" s="46" t="s">
        <v>312</v>
      </c>
      <c r="H38" s="504">
        <f>SUM('Table 3.18-Nixie UAA'!I6,'Table 3.18-Nixie UAA'!I15,'Table 3.18-Nixie UAA'!I24)+SUM('Table 3.31-Rating Post Due'!H7,'Table 3.31-Rating Post Due'!H12,'Table 3.31-Rating Post Due'!H20)</f>
        <v>5604.4114278041061</v>
      </c>
      <c r="I38" s="151"/>
      <c r="J38" s="492">
        <f>'Table 3.3-PARS Fwd Summary'!J33+'Table 3.4-NonPARS Fwd Summary'!J28</f>
        <v>5604.411427804107</v>
      </c>
      <c r="K38" s="143">
        <f t="shared" si="2"/>
        <v>0</v>
      </c>
    </row>
    <row r="39" spans="1:11" ht="12.75" hidden="1" customHeight="1" x14ac:dyDescent="0.6">
      <c r="A39" s="487"/>
      <c r="B39" s="143">
        <v>0</v>
      </c>
      <c r="C39" s="27"/>
      <c r="D39" s="488"/>
      <c r="E39" s="27"/>
      <c r="F39" s="485"/>
      <c r="G39" s="46" t="s">
        <v>313</v>
      </c>
      <c r="H39" s="504">
        <f>SUM('Table 3.20-CFS Non-CIOSS'!H9,'Table 3.20-CFS Non-CIOSS'!H45,'Table 3.20-CFS Non-CIOSS'!H56,'Table 3.21-CFS CIOSS Rejs'!H9)</f>
        <v>19248.345236381578</v>
      </c>
      <c r="I39" s="151"/>
      <c r="J39" s="492">
        <f>'Table 3.3-PARS Fwd Summary'!J34+'Table 3.4-NonPARS Fwd Summary'!J29</f>
        <v>19248.345236381574</v>
      </c>
      <c r="K39" s="143">
        <f t="shared" si="2"/>
        <v>0</v>
      </c>
    </row>
    <row r="40" spans="1:11" ht="12.75" hidden="1" customHeight="1" x14ac:dyDescent="0.6">
      <c r="A40" s="487"/>
      <c r="B40" s="32"/>
      <c r="C40" s="27"/>
      <c r="D40" s="488"/>
      <c r="E40" s="27"/>
      <c r="F40" s="485"/>
      <c r="G40" s="483" t="s">
        <v>502</v>
      </c>
      <c r="H40" s="504">
        <f>SUM('Table 3.23-CIOSS Summary'!I4,'Table 3.23-CIOSS Summary'!I8,'Table 3.23-CIOSS Summary'!I11)</f>
        <v>45541.202502368978</v>
      </c>
      <c r="I40" s="151"/>
      <c r="J40" s="492">
        <f>'Table 3.3-PARS Fwd Summary'!J35</f>
        <v>45541.202502368978</v>
      </c>
      <c r="K40" s="143">
        <f t="shared" si="2"/>
        <v>0</v>
      </c>
    </row>
    <row r="41" spans="1:11" ht="12.75" hidden="1" customHeight="1" x14ac:dyDescent="0.6">
      <c r="A41" s="499"/>
      <c r="B41" s="32"/>
      <c r="C41" s="27"/>
      <c r="D41" s="488"/>
      <c r="E41" s="27"/>
      <c r="F41" s="485"/>
      <c r="G41" s="483" t="s">
        <v>503</v>
      </c>
      <c r="H41" s="504">
        <f>'Table 3.25-REC Summary'!K4+'Table 3.25-REC Summary'!K8</f>
        <v>33569.87392608136</v>
      </c>
      <c r="I41" s="151"/>
      <c r="J41" s="492">
        <f>'Table 3.3-PARS Fwd Summary'!J36</f>
        <v>33569.87392608136</v>
      </c>
      <c r="K41" s="143">
        <f t="shared" si="2"/>
        <v>0</v>
      </c>
    </row>
    <row r="42" spans="1:11" ht="12.75" hidden="1" customHeight="1" x14ac:dyDescent="0.6">
      <c r="A42" s="491"/>
      <c r="B42" s="492"/>
      <c r="C42" s="151"/>
      <c r="D42" s="488"/>
      <c r="E42" s="151"/>
      <c r="F42" s="489"/>
      <c r="G42" s="67" t="s">
        <v>518</v>
      </c>
      <c r="H42" s="492">
        <f>'Table 3.3-PARS Fwd Summary'!H37+'Table 3.4-NonPARS Fwd Summary'!H30</f>
        <v>111003.65164224461</v>
      </c>
      <c r="I42" s="151"/>
      <c r="J42" s="492">
        <f>'Table 3.3-PARS Fwd Summary'!J37+'Table 3.4-NonPARS Fwd Summary'!J30</f>
        <v>111003.65164224463</v>
      </c>
      <c r="K42" s="143">
        <f t="shared" si="2"/>
        <v>0</v>
      </c>
    </row>
    <row r="43" spans="1:11" ht="12.75" hidden="1" customHeight="1" x14ac:dyDescent="0.6">
      <c r="A43" s="493"/>
      <c r="B43" s="492"/>
      <c r="C43" s="151"/>
      <c r="D43" s="488"/>
      <c r="E43" s="151"/>
      <c r="F43" s="489"/>
      <c r="G43" s="67" t="s">
        <v>315</v>
      </c>
      <c r="H43" s="504">
        <f>SUM('Table 3.32-Accounting Post Due'!D4:D5)*'Table 3.32-Accounting Post Due'!F4+SUM('Table 3.33-Delivery Post Due'!D5:D9)*'Table 3.33-Delivery Post Due'!F5+SUM('Table 3.34-Window Post Due'!D4:D5)*'Table 3.34-Window Post Due'!F4+'Table 3.36-Process Form 3546'!J17*'Table 3.36-Process Form 3546'!B4</f>
        <v>8635.6346281388142</v>
      </c>
      <c r="I43" s="151"/>
      <c r="J43" s="492">
        <f>'Table 3.3-PARS Fwd Summary'!J38+'Table 3.4-NonPARS Fwd Summary'!J31</f>
        <v>8635.6346281388123</v>
      </c>
      <c r="K43" s="143">
        <f t="shared" si="2"/>
        <v>0</v>
      </c>
    </row>
    <row r="44" spans="1:11" ht="12.75" hidden="1" customHeight="1" x14ac:dyDescent="0.6">
      <c r="A44" s="493"/>
      <c r="B44" s="492"/>
      <c r="C44" s="151"/>
      <c r="D44" s="488"/>
      <c r="E44" s="151"/>
      <c r="F44" s="489"/>
      <c r="G44" s="46" t="s">
        <v>314</v>
      </c>
      <c r="H44" s="492">
        <f>SUM(H37:H43)</f>
        <v>233232.45361422919</v>
      </c>
      <c r="I44" s="151"/>
      <c r="J44" s="492">
        <f>SUM(J37:J43)</f>
        <v>233232.45361422919</v>
      </c>
      <c r="K44" s="143">
        <f t="shared" si="2"/>
        <v>0</v>
      </c>
    </row>
    <row r="45" spans="1:11" x14ac:dyDescent="0.6">
      <c r="A45" s="317"/>
      <c r="B45" s="317"/>
      <c r="C45" s="317"/>
      <c r="D45" s="317"/>
      <c r="E45" s="317"/>
      <c r="F45" s="317"/>
      <c r="G45" s="27"/>
      <c r="H45" s="240"/>
      <c r="I45" s="27"/>
      <c r="J45" s="27"/>
    </row>
    <row r="46" spans="1:11" x14ac:dyDescent="0.6">
      <c r="A46" s="284" t="s">
        <v>235</v>
      </c>
    </row>
    <row r="47" spans="1:11" x14ac:dyDescent="0.6">
      <c r="A47" s="284" t="s">
        <v>575</v>
      </c>
      <c r="D47" s="12"/>
    </row>
    <row r="48" spans="1:11" x14ac:dyDescent="0.6">
      <c r="A48" s="284" t="s">
        <v>576</v>
      </c>
      <c r="D48" s="12"/>
    </row>
    <row r="49" spans="1:4" x14ac:dyDescent="0.6">
      <c r="A49" s="284"/>
      <c r="D49" s="12"/>
    </row>
    <row r="50" spans="1:4" x14ac:dyDescent="0.6">
      <c r="A50" s="241"/>
    </row>
    <row r="51" spans="1:4" x14ac:dyDescent="0.6">
      <c r="A51" s="241"/>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pageSetUpPr fitToPage="1"/>
  </sheetPr>
  <dimension ref="A1:R35"/>
  <sheetViews>
    <sheetView zoomScale="70" workbookViewId="0">
      <selection activeCell="C28" sqref="C28"/>
    </sheetView>
  </sheetViews>
  <sheetFormatPr defaultColWidth="9.08984375" defaultRowHeight="13" x14ac:dyDescent="0.6"/>
  <cols>
    <col min="1" max="1" width="27.86328125" style="11" customWidth="1"/>
    <col min="2" max="7" width="11.6796875" style="11" customWidth="1"/>
    <col min="8" max="8" width="9.6796875" style="11" customWidth="1"/>
    <col min="9" max="10" width="10.08984375" style="11" customWidth="1"/>
    <col min="11" max="11" width="10.54296875" style="11" bestFit="1" customWidth="1"/>
    <col min="12" max="12" width="9.08984375" style="11"/>
    <col min="13" max="13" width="10.31640625" style="11" bestFit="1" customWidth="1"/>
    <col min="14" max="14" width="10.54296875" style="11" bestFit="1" customWidth="1"/>
    <col min="15" max="15" width="9.08984375" style="11"/>
    <col min="16" max="16" width="11.31640625" style="11" bestFit="1" customWidth="1"/>
    <col min="17" max="16384" width="9.08984375" style="11"/>
  </cols>
  <sheetData>
    <row r="1" spans="1:16" s="24" customFormat="1" ht="15.5" x14ac:dyDescent="0.7">
      <c r="A1" s="158" t="s">
        <v>710</v>
      </c>
    </row>
    <row r="2" spans="1:16" s="24" customFormat="1" ht="15.5" x14ac:dyDescent="0.7">
      <c r="A2" s="158" t="s">
        <v>787</v>
      </c>
    </row>
    <row r="3" spans="1:16" x14ac:dyDescent="0.6">
      <c r="B3" s="108" t="s">
        <v>167</v>
      </c>
      <c r="C3" s="108"/>
      <c r="D3" s="107"/>
      <c r="E3" s="107"/>
      <c r="F3" s="107"/>
      <c r="G3" s="107"/>
      <c r="H3" s="51"/>
      <c r="I3" s="51"/>
      <c r="J3" s="51"/>
      <c r="K3" s="51"/>
    </row>
    <row r="4" spans="1:16" x14ac:dyDescent="0.6">
      <c r="B4" s="237" t="s">
        <v>147</v>
      </c>
      <c r="C4" s="441"/>
      <c r="D4" s="13"/>
      <c r="E4" s="237" t="s">
        <v>149</v>
      </c>
      <c r="F4" s="238"/>
      <c r="G4" s="13"/>
      <c r="H4" s="24"/>
      <c r="I4" s="24"/>
      <c r="J4" s="51"/>
      <c r="K4" s="51"/>
    </row>
    <row r="5" spans="1:16" x14ac:dyDescent="0.6">
      <c r="B5" s="178" t="s">
        <v>228</v>
      </c>
      <c r="C5" s="236" t="s">
        <v>229</v>
      </c>
      <c r="D5" s="106" t="s">
        <v>148</v>
      </c>
      <c r="E5" s="178" t="s">
        <v>228</v>
      </c>
      <c r="F5" s="236" t="s">
        <v>229</v>
      </c>
      <c r="G5" s="106" t="s">
        <v>102</v>
      </c>
      <c r="H5" s="47"/>
      <c r="I5" s="51"/>
      <c r="J5" s="51"/>
      <c r="K5" s="51"/>
    </row>
    <row r="6" spans="1:16" x14ac:dyDescent="0.6">
      <c r="A6" s="89" t="s">
        <v>278</v>
      </c>
      <c r="B6" s="121">
        <f t="shared" ref="B6:G7" si="0">(B17+$B12)*$B$9</f>
        <v>0.10528540006786848</v>
      </c>
      <c r="C6" s="121">
        <f>(C17+$B12)*$B$9</f>
        <v>0.19098591216983413</v>
      </c>
      <c r="D6" s="121">
        <f t="shared" si="0"/>
        <v>0.37032046326816315</v>
      </c>
      <c r="E6" s="121">
        <f t="shared" si="0"/>
        <v>2.9625073881243518</v>
      </c>
      <c r="F6" s="121">
        <f t="shared" si="0"/>
        <v>3.0725306095700993</v>
      </c>
      <c r="G6" s="121">
        <f t="shared" si="0"/>
        <v>0.13547592550473345</v>
      </c>
      <c r="H6"/>
      <c r="I6" s="210"/>
      <c r="J6" s="53"/>
      <c r="K6" s="86"/>
      <c r="L6" s="86"/>
      <c r="M6" s="498"/>
      <c r="N6" s="498"/>
      <c r="O6" s="53"/>
      <c r="P6" s="53"/>
    </row>
    <row r="7" spans="1:16" x14ac:dyDescent="0.6">
      <c r="A7" s="21" t="s">
        <v>373</v>
      </c>
      <c r="B7" s="121">
        <f t="shared" si="0"/>
        <v>0.36146745360242255</v>
      </c>
      <c r="C7" s="121">
        <f>(C18+$B13)*$B$9</f>
        <v>1.0931943472009846</v>
      </c>
      <c r="D7" s="121">
        <f t="shared" si="0"/>
        <v>1.1227496671755588</v>
      </c>
      <c r="E7" s="121"/>
      <c r="F7" s="121">
        <f t="shared" si="0"/>
        <v>14.908363142358921</v>
      </c>
      <c r="G7" s="121">
        <f t="shared" si="0"/>
        <v>0.53136375971977956</v>
      </c>
      <c r="H7"/>
      <c r="I7" s="210"/>
      <c r="J7" s="53"/>
      <c r="K7" s="86"/>
      <c r="L7" s="86"/>
      <c r="M7" s="498"/>
      <c r="N7" s="498"/>
      <c r="O7" s="53"/>
    </row>
    <row r="8" spans="1:16" x14ac:dyDescent="0.6">
      <c r="A8" s="21"/>
      <c r="B8" s="206"/>
      <c r="C8" s="206"/>
      <c r="D8" s="206"/>
      <c r="E8" s="206"/>
      <c r="F8" s="206"/>
      <c r="G8" s="117"/>
      <c r="H8" s="51"/>
      <c r="I8" s="51"/>
    </row>
    <row r="9" spans="1:16" ht="13.5" customHeight="1" x14ac:dyDescent="0.6">
      <c r="A9" s="323" t="s">
        <v>192</v>
      </c>
      <c r="B9" s="207">
        <v>1.7516721267338493</v>
      </c>
      <c r="C9" s="294" t="s">
        <v>238</v>
      </c>
      <c r="E9" s="206"/>
      <c r="F9" s="206"/>
      <c r="G9" s="117"/>
      <c r="H9" s="51"/>
      <c r="I9" s="51"/>
      <c r="J9" s="51"/>
      <c r="K9" s="51"/>
    </row>
    <row r="10" spans="1:16" x14ac:dyDescent="0.6">
      <c r="A10" s="21"/>
      <c r="B10" s="206"/>
      <c r="C10" s="206"/>
      <c r="E10" s="206"/>
      <c r="F10" s="206"/>
      <c r="G10" s="117"/>
      <c r="H10" s="51"/>
      <c r="I10" s="51"/>
      <c r="J10" s="51"/>
      <c r="K10" s="51"/>
    </row>
    <row r="11" spans="1:16" x14ac:dyDescent="0.6">
      <c r="A11" s="15" t="s">
        <v>185</v>
      </c>
      <c r="B11" s="208"/>
      <c r="C11" s="208"/>
      <c r="E11" s="208"/>
      <c r="F11" s="208"/>
      <c r="G11" s="48"/>
      <c r="H11" s="51"/>
      <c r="I11" s="51"/>
      <c r="J11" s="51"/>
    </row>
    <row r="12" spans="1:16" x14ac:dyDescent="0.6">
      <c r="A12" s="89" t="s">
        <v>278</v>
      </c>
      <c r="B12" s="121">
        <v>3.9476005652958876E-2</v>
      </c>
      <c r="C12" s="294" t="s">
        <v>239</v>
      </c>
      <c r="E12" s="208"/>
      <c r="F12" s="208"/>
      <c r="G12" s="48"/>
      <c r="H12" s="51"/>
      <c r="I12" s="51"/>
      <c r="J12" s="51"/>
    </row>
    <row r="13" spans="1:16" x14ac:dyDescent="0.6">
      <c r="A13" s="21" t="s">
        <v>373</v>
      </c>
      <c r="B13" s="121">
        <v>3.9476005652958876E-2</v>
      </c>
      <c r="C13" s="294" t="s">
        <v>239</v>
      </c>
      <c r="E13" s="208"/>
      <c r="F13" s="208"/>
      <c r="G13" s="48"/>
      <c r="H13" s="51"/>
      <c r="I13" s="51"/>
      <c r="J13" s="51"/>
    </row>
    <row r="14" spans="1:16" x14ac:dyDescent="0.6">
      <c r="B14" s="208"/>
      <c r="C14" s="208"/>
      <c r="D14" s="208"/>
      <c r="E14" s="208"/>
      <c r="F14" s="208"/>
      <c r="G14" s="48"/>
      <c r="H14" s="51"/>
      <c r="I14" s="51"/>
      <c r="J14" s="51"/>
    </row>
    <row r="15" spans="1:16" x14ac:dyDescent="0.6">
      <c r="A15" s="15" t="s">
        <v>374</v>
      </c>
      <c r="B15" s="237" t="s">
        <v>147</v>
      </c>
      <c r="C15" s="441"/>
      <c r="D15" s="206"/>
      <c r="E15" s="237" t="s">
        <v>149</v>
      </c>
      <c r="F15" s="238"/>
      <c r="G15" s="14"/>
      <c r="H15"/>
      <c r="I15"/>
      <c r="J15" s="108"/>
    </row>
    <row r="16" spans="1:16" x14ac:dyDescent="0.6">
      <c r="A16" s="11" t="s">
        <v>166</v>
      </c>
      <c r="B16" s="178" t="s">
        <v>228</v>
      </c>
      <c r="C16" s="236" t="s">
        <v>229</v>
      </c>
      <c r="D16" s="209" t="s">
        <v>148</v>
      </c>
      <c r="E16" s="178" t="s">
        <v>228</v>
      </c>
      <c r="F16" s="236" t="s">
        <v>229</v>
      </c>
      <c r="G16" s="106" t="s">
        <v>102</v>
      </c>
      <c r="H16"/>
      <c r="J16"/>
    </row>
    <row r="17" spans="1:18" x14ac:dyDescent="0.6">
      <c r="A17" s="89" t="s">
        <v>278</v>
      </c>
      <c r="B17" s="121">
        <f t="shared" ref="B17:G18" si="1">IF(B27=0,0,B22/B27)</f>
        <v>2.0629649087453419E-2</v>
      </c>
      <c r="C17" s="121">
        <f>IF(C27=0,0,C22/C27)</f>
        <v>6.9554622428076238E-2</v>
      </c>
      <c r="D17" s="121">
        <f t="shared" si="1"/>
        <v>0.17193368547380411</v>
      </c>
      <c r="E17" s="121">
        <f t="shared" si="1"/>
        <v>1.6517693723552043</v>
      </c>
      <c r="F17" s="121">
        <f t="shared" si="1"/>
        <v>1.7145797692134881</v>
      </c>
      <c r="G17" s="121">
        <f t="shared" si="1"/>
        <v>3.7864909600023158E-2</v>
      </c>
      <c r="H17"/>
      <c r="J17" s="86"/>
      <c r="K17" s="86"/>
      <c r="L17" s="86"/>
      <c r="M17" s="53"/>
      <c r="N17" s="53"/>
      <c r="O17" s="53"/>
    </row>
    <row r="18" spans="1:18" x14ac:dyDescent="0.6">
      <c r="A18" s="21" t="s">
        <v>373</v>
      </c>
      <c r="B18" s="121">
        <f t="shared" si="1"/>
        <v>0.16687965194171395</v>
      </c>
      <c r="C18" s="121">
        <f>IF(C28=0,0,C23/C28)</f>
        <v>0.5846101635089288</v>
      </c>
      <c r="D18" s="121">
        <f t="shared" si="1"/>
        <v>0.60148279596308718</v>
      </c>
      <c r="E18" s="121">
        <f t="shared" si="1"/>
        <v>0</v>
      </c>
      <c r="F18" s="121">
        <f t="shared" si="1"/>
        <v>8.4714564427367449</v>
      </c>
      <c r="G18" s="121">
        <f t="shared" si="1"/>
        <v>0.26387058050900464</v>
      </c>
      <c r="H18"/>
      <c r="J18" s="86"/>
      <c r="K18" s="86"/>
      <c r="L18" s="86"/>
      <c r="M18" s="6"/>
      <c r="N18" s="53"/>
      <c r="O18" s="53"/>
    </row>
    <row r="19" spans="1:18" x14ac:dyDescent="0.6">
      <c r="A19" s="21"/>
      <c r="B19" s="121"/>
      <c r="C19" s="121"/>
      <c r="D19" s="121"/>
      <c r="E19" s="121"/>
      <c r="F19" s="121"/>
      <c r="G19" s="121"/>
      <c r="H19"/>
    </row>
    <row r="20" spans="1:18" x14ac:dyDescent="0.6">
      <c r="B20" s="237" t="s">
        <v>376</v>
      </c>
      <c r="C20" s="441"/>
      <c r="D20" s="206"/>
      <c r="E20" s="237" t="s">
        <v>149</v>
      </c>
      <c r="F20" s="238"/>
      <c r="G20" s="117"/>
      <c r="H20"/>
      <c r="I20"/>
      <c r="J20"/>
      <c r="K20"/>
      <c r="L20"/>
      <c r="M20"/>
      <c r="N20"/>
    </row>
    <row r="21" spans="1:18" x14ac:dyDescent="0.6">
      <c r="A21" s="24" t="s">
        <v>375</v>
      </c>
      <c r="B21" s="178" t="s">
        <v>228</v>
      </c>
      <c r="C21" s="236" t="s">
        <v>229</v>
      </c>
      <c r="D21" s="209" t="s">
        <v>148</v>
      </c>
      <c r="E21" s="178" t="s">
        <v>228</v>
      </c>
      <c r="F21" s="236" t="s">
        <v>229</v>
      </c>
      <c r="G21" s="106" t="s">
        <v>102</v>
      </c>
      <c r="H21"/>
      <c r="I21"/>
      <c r="J21"/>
      <c r="K21"/>
      <c r="L21"/>
      <c r="M21"/>
      <c r="N21"/>
    </row>
    <row r="22" spans="1:18" x14ac:dyDescent="0.6">
      <c r="A22" s="89" t="s">
        <v>278</v>
      </c>
      <c r="B22" s="105">
        <v>14672.679584261472</v>
      </c>
      <c r="C22" s="105">
        <v>5002.5923112008131</v>
      </c>
      <c r="D22" s="105">
        <v>5644.2528682835764</v>
      </c>
      <c r="E22" s="105">
        <v>1779.216129035022</v>
      </c>
      <c r="F22" s="105">
        <v>3926.2786377865696</v>
      </c>
      <c r="G22" s="105">
        <f>SUM(B22:F22)</f>
        <v>31025.019530567453</v>
      </c>
      <c r="H22"/>
      <c r="I22"/>
      <c r="J22"/>
      <c r="K22"/>
      <c r="L22"/>
      <c r="M22"/>
      <c r="N22"/>
    </row>
    <row r="23" spans="1:18" x14ac:dyDescent="0.6">
      <c r="A23" s="21" t="s">
        <v>373</v>
      </c>
      <c r="B23" s="105">
        <v>199939.49019681462</v>
      </c>
      <c r="C23" s="105">
        <v>44976.102317800345</v>
      </c>
      <c r="D23" s="105">
        <v>36993.580999477694</v>
      </c>
      <c r="E23" s="105">
        <v>0</v>
      </c>
      <c r="F23" s="105">
        <v>73040.367364123274</v>
      </c>
      <c r="G23" s="105">
        <f>SUM(B23:F23)</f>
        <v>354949.54087821592</v>
      </c>
      <c r="H23"/>
      <c r="I23"/>
      <c r="J23"/>
      <c r="K23"/>
      <c r="L23"/>
      <c r="M23"/>
      <c r="N23"/>
    </row>
    <row r="24" spans="1:18" x14ac:dyDescent="0.6">
      <c r="A24" s="21"/>
      <c r="B24" s="105"/>
      <c r="C24" s="105"/>
      <c r="D24" s="105"/>
      <c r="E24" s="105"/>
      <c r="F24" s="105"/>
      <c r="G24" s="105"/>
      <c r="H24"/>
      <c r="I24"/>
      <c r="J24"/>
      <c r="K24"/>
      <c r="L24"/>
      <c r="M24"/>
      <c r="N24"/>
    </row>
    <row r="25" spans="1:18" x14ac:dyDescent="0.6">
      <c r="B25" s="237" t="s">
        <v>376</v>
      </c>
      <c r="C25" s="441"/>
      <c r="D25" s="105"/>
      <c r="E25" s="237" t="s">
        <v>149</v>
      </c>
      <c r="F25" s="238"/>
      <c r="G25" s="105"/>
      <c r="H25"/>
      <c r="I25"/>
      <c r="J25"/>
      <c r="K25"/>
      <c r="L25"/>
      <c r="M25"/>
      <c r="N25"/>
    </row>
    <row r="26" spans="1:18" x14ac:dyDescent="0.6">
      <c r="A26" s="25" t="s">
        <v>252</v>
      </c>
      <c r="B26" s="178" t="s">
        <v>228</v>
      </c>
      <c r="C26" s="236" t="s">
        <v>229</v>
      </c>
      <c r="D26" s="209" t="s">
        <v>148</v>
      </c>
      <c r="E26" s="178" t="s">
        <v>228</v>
      </c>
      <c r="F26" s="236" t="s">
        <v>229</v>
      </c>
      <c r="G26" s="106" t="s">
        <v>102</v>
      </c>
      <c r="H26"/>
      <c r="I26"/>
      <c r="J26"/>
      <c r="K26"/>
      <c r="L26"/>
      <c r="M26"/>
      <c r="N26"/>
    </row>
    <row r="27" spans="1:18" x14ac:dyDescent="0.6">
      <c r="A27" s="89" t="s">
        <v>278</v>
      </c>
      <c r="B27" s="105">
        <v>711242.32516321039</v>
      </c>
      <c r="C27" s="105">
        <v>71923.218566441094</v>
      </c>
      <c r="D27" s="105">
        <v>32828.080505163933</v>
      </c>
      <c r="E27" s="105">
        <v>1077.1577187547045</v>
      </c>
      <c r="F27" s="105">
        <v>2289.9364079092288</v>
      </c>
      <c r="G27" s="105">
        <f>SUM(B27:F27)</f>
        <v>819360.71836147935</v>
      </c>
      <c r="H27"/>
      <c r="I27"/>
      <c r="J27"/>
      <c r="K27"/>
      <c r="L27"/>
      <c r="M27"/>
      <c r="N27"/>
    </row>
    <row r="28" spans="1:18" x14ac:dyDescent="0.6">
      <c r="A28" s="21" t="s">
        <v>373</v>
      </c>
      <c r="B28" s="105">
        <v>1198105.8677342369</v>
      </c>
      <c r="C28" s="105">
        <v>76933.493676959348</v>
      </c>
      <c r="D28" s="105">
        <v>61503.971930309344</v>
      </c>
      <c r="E28" s="105">
        <v>0</v>
      </c>
      <c r="F28" s="105">
        <v>8621.9374269163127</v>
      </c>
      <c r="G28" s="105">
        <f>SUM(B28:F28)</f>
        <v>1345165.2707684219</v>
      </c>
      <c r="H28"/>
      <c r="I28" s="27"/>
      <c r="J28" s="27"/>
      <c r="K28" s="27"/>
      <c r="L28" s="27"/>
      <c r="M28" s="27"/>
      <c r="N28" s="27"/>
      <c r="O28" s="140"/>
      <c r="P28" s="140"/>
      <c r="Q28" s="140"/>
      <c r="R28" s="140"/>
    </row>
    <row r="29" spans="1:18" x14ac:dyDescent="0.6">
      <c r="A29" s="141"/>
      <c r="B29" s="141"/>
      <c r="C29" s="141"/>
      <c r="D29" s="141"/>
      <c r="E29" s="141"/>
      <c r="F29" s="141"/>
      <c r="I29" s="140"/>
      <c r="J29" s="140"/>
      <c r="K29" s="140"/>
      <c r="L29" s="140"/>
      <c r="M29" s="140"/>
      <c r="N29" s="140"/>
      <c r="O29" s="140"/>
      <c r="P29" s="140"/>
      <c r="Q29" s="140"/>
      <c r="R29" s="140"/>
    </row>
    <row r="30" spans="1:18" x14ac:dyDescent="0.6">
      <c r="A30" s="11" t="s">
        <v>235</v>
      </c>
      <c r="I30" s="145"/>
      <c r="J30" s="140"/>
      <c r="K30" s="140"/>
      <c r="L30" s="140"/>
      <c r="M30" s="140"/>
      <c r="N30" s="140"/>
      <c r="O30" s="140"/>
      <c r="P30" s="140"/>
      <c r="Q30" s="140"/>
      <c r="R30" s="140"/>
    </row>
    <row r="31" spans="1:18" ht="50.15" customHeight="1" x14ac:dyDescent="0.6">
      <c r="A31" s="613" t="s">
        <v>813</v>
      </c>
      <c r="B31" s="614"/>
      <c r="C31" s="614"/>
      <c r="D31" s="614"/>
      <c r="E31" s="614"/>
      <c r="F31" s="614"/>
    </row>
    <row r="32" spans="1:18" x14ac:dyDescent="0.6">
      <c r="A32" s="25" t="s">
        <v>795</v>
      </c>
    </row>
    <row r="33" spans="1:3" x14ac:dyDescent="0.6">
      <c r="A33" s="25" t="s">
        <v>812</v>
      </c>
    </row>
    <row r="35" spans="1:3" x14ac:dyDescent="0.6">
      <c r="C35" s="53"/>
    </row>
  </sheetData>
  <mergeCells count="1">
    <mergeCell ref="A31:F31"/>
  </mergeCells>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pageSetUpPr fitToPage="1"/>
  </sheetPr>
  <dimension ref="A1:F46"/>
  <sheetViews>
    <sheetView zoomScale="70" workbookViewId="0">
      <selection activeCell="B28" sqref="B28"/>
    </sheetView>
  </sheetViews>
  <sheetFormatPr defaultRowHeight="13" x14ac:dyDescent="0.6"/>
  <cols>
    <col min="1" max="1" width="31.453125" bestFit="1" customWidth="1"/>
    <col min="2" max="2" width="11.6796875" customWidth="1"/>
    <col min="3" max="3" width="3.6796875" customWidth="1"/>
    <col min="4" max="4" width="11.6796875" customWidth="1"/>
    <col min="5" max="5" width="3.6796875" customWidth="1"/>
    <col min="6" max="6" width="11.6796875" customWidth="1"/>
  </cols>
  <sheetData>
    <row r="1" spans="1:6" ht="15.5" x14ac:dyDescent="0.7">
      <c r="A1" s="158" t="s">
        <v>711</v>
      </c>
    </row>
    <row r="2" spans="1:6" ht="15.5" x14ac:dyDescent="0.7">
      <c r="A2" s="158" t="s">
        <v>787</v>
      </c>
    </row>
    <row r="3" spans="1:6" ht="26" x14ac:dyDescent="0.6">
      <c r="A3" s="544" t="s">
        <v>396</v>
      </c>
      <c r="B3" s="168" t="s">
        <v>109</v>
      </c>
      <c r="D3" s="169" t="s">
        <v>104</v>
      </c>
      <c r="F3" s="168" t="s">
        <v>110</v>
      </c>
    </row>
    <row r="4" spans="1:6" x14ac:dyDescent="0.6">
      <c r="A4" s="16" t="s">
        <v>278</v>
      </c>
    </row>
    <row r="5" spans="1:6" x14ac:dyDescent="0.6">
      <c r="A5" s="111" t="s">
        <v>505</v>
      </c>
    </row>
    <row r="6" spans="1:6" x14ac:dyDescent="0.6">
      <c r="A6" s="501" t="s">
        <v>539</v>
      </c>
      <c r="B6" s="6">
        <f>'Table 3.3-PARS Fwd Summary'!B23-B7</f>
        <v>711242.32516321004</v>
      </c>
      <c r="C6" s="12" t="s">
        <v>238</v>
      </c>
      <c r="D6" s="121">
        <f>'Table 3.29-UAA MP Units'!B6</f>
        <v>0.10528540006786848</v>
      </c>
      <c r="E6" s="12" t="s">
        <v>239</v>
      </c>
      <c r="F6" s="175">
        <f>B6*D6</f>
        <v>74883.432750009568</v>
      </c>
    </row>
    <row r="7" spans="1:6" x14ac:dyDescent="0.6">
      <c r="A7" s="545" t="s">
        <v>545</v>
      </c>
      <c r="B7" s="6">
        <f>SUM('Table 3.3-PARS Fwd Summary'!B9,'Table 3.3-PARS Fwd Summary'!B19)</f>
        <v>33658.689836789912</v>
      </c>
      <c r="C7" s="12" t="s">
        <v>238</v>
      </c>
      <c r="D7" s="121">
        <f>'Table 3.29-UAA MP Units'!C6</f>
        <v>0.19098591216983413</v>
      </c>
      <c r="E7" s="12" t="s">
        <v>239</v>
      </c>
      <c r="F7" s="175">
        <f>B7*D7</f>
        <v>6428.335580920847</v>
      </c>
    </row>
    <row r="8" spans="1:6" x14ac:dyDescent="0.6">
      <c r="A8" s="501" t="s">
        <v>102</v>
      </c>
      <c r="B8" s="6">
        <f>SUM(B6:B7)</f>
        <v>744901.0149999999</v>
      </c>
      <c r="D8" s="121">
        <f>F8/B8</f>
        <v>0.1091578165334228</v>
      </c>
      <c r="F8" s="165">
        <f>SUM(F6:F7)</f>
        <v>81311.768330930412</v>
      </c>
    </row>
    <row r="9" spans="1:6" ht="5.15" customHeight="1" x14ac:dyDescent="0.6"/>
    <row r="10" spans="1:6" x14ac:dyDescent="0.6">
      <c r="A10" s="111" t="s">
        <v>490</v>
      </c>
    </row>
    <row r="11" spans="1:6" x14ac:dyDescent="0.6">
      <c r="A11" s="501" t="s">
        <v>539</v>
      </c>
      <c r="B11">
        <v>0</v>
      </c>
      <c r="D11" s="121">
        <f>'Table 3.29-UAA MP Units'!B6</f>
        <v>0.10528540006786848</v>
      </c>
      <c r="E11" s="12" t="s">
        <v>239</v>
      </c>
      <c r="F11" s="175">
        <f>B11*D11</f>
        <v>0</v>
      </c>
    </row>
    <row r="12" spans="1:6" x14ac:dyDescent="0.6">
      <c r="A12" s="501" t="s">
        <v>540</v>
      </c>
      <c r="B12" s="6">
        <f>'Table 3.29-UAA MP Units'!C27-B7</f>
        <v>38264.528729651181</v>
      </c>
      <c r="C12" s="12" t="s">
        <v>240</v>
      </c>
      <c r="D12" s="121">
        <f>'Table 3.29-UAA MP Units'!C6</f>
        <v>0.19098591216983413</v>
      </c>
      <c r="E12" s="12" t="s">
        <v>239</v>
      </c>
      <c r="F12" s="175">
        <f>B12*D12</f>
        <v>7307.9859231812552</v>
      </c>
    </row>
    <row r="13" spans="1:6" x14ac:dyDescent="0.6">
      <c r="A13" s="501" t="s">
        <v>148</v>
      </c>
      <c r="B13" s="6">
        <f>'Table 3.29-UAA MP Units'!D27</f>
        <v>32828.080505163933</v>
      </c>
      <c r="C13" s="12" t="s">
        <v>239</v>
      </c>
      <c r="D13" s="121">
        <f>'Table 3.29-UAA MP Units'!D6</f>
        <v>0.37032046326816315</v>
      </c>
      <c r="E13" s="12" t="s">
        <v>239</v>
      </c>
      <c r="F13" s="175">
        <f>B13*D13</f>
        <v>12156.909980876862</v>
      </c>
    </row>
    <row r="14" spans="1:6" x14ac:dyDescent="0.6">
      <c r="A14" s="501" t="s">
        <v>541</v>
      </c>
      <c r="B14" s="6">
        <f>'Table 3.29-UAA MP Units'!E27</f>
        <v>1077.1577187547045</v>
      </c>
      <c r="C14" s="12" t="s">
        <v>239</v>
      </c>
      <c r="D14" s="121">
        <f>'Table 3.29-UAA MP Units'!E6</f>
        <v>2.9625073881243518</v>
      </c>
      <c r="E14" s="12" t="s">
        <v>239</v>
      </c>
      <c r="F14" s="175">
        <f>B14*D14</f>
        <v>3191.0876999859847</v>
      </c>
    </row>
    <row r="15" spans="1:6" x14ac:dyDescent="0.6">
      <c r="A15" s="545" t="s">
        <v>542</v>
      </c>
      <c r="B15" s="6">
        <f>'Table 3.29-UAA MP Units'!F27</f>
        <v>2289.9364079092288</v>
      </c>
      <c r="C15" s="12" t="s">
        <v>239</v>
      </c>
      <c r="D15" s="121">
        <f>'Table 3.29-UAA MP Units'!F6</f>
        <v>3.0725306095700993</v>
      </c>
      <c r="E15" s="12" t="s">
        <v>239</v>
      </c>
      <c r="F15" s="175">
        <f>B15*D15</f>
        <v>7035.8997072701059</v>
      </c>
    </row>
    <row r="16" spans="1:6" x14ac:dyDescent="0.6">
      <c r="A16" s="501" t="s">
        <v>102</v>
      </c>
      <c r="B16" s="6">
        <f>SUM(B11:B15)</f>
        <v>74459.703361479056</v>
      </c>
      <c r="D16" s="121">
        <f>F16/B16</f>
        <v>0.39876445877267608</v>
      </c>
      <c r="F16" s="165">
        <f>SUM(F11:F15)</f>
        <v>29691.883311314206</v>
      </c>
    </row>
    <row r="17" spans="1:6" ht="5.15" customHeight="1" x14ac:dyDescent="0.6"/>
    <row r="18" spans="1:6" x14ac:dyDescent="0.6">
      <c r="A18" s="546" t="s">
        <v>543</v>
      </c>
      <c r="B18" s="6">
        <f>SUM(B8,B16)</f>
        <v>819360.718361479</v>
      </c>
      <c r="D18" s="121">
        <f>F18/B18</f>
        <v>0.13547592550473345</v>
      </c>
      <c r="F18" s="165">
        <f>SUM(F8,F16)</f>
        <v>111003.65164224461</v>
      </c>
    </row>
    <row r="20" spans="1:6" x14ac:dyDescent="0.6">
      <c r="A20" s="16" t="s">
        <v>280</v>
      </c>
    </row>
    <row r="21" spans="1:6" x14ac:dyDescent="0.6">
      <c r="A21" s="111" t="s">
        <v>505</v>
      </c>
    </row>
    <row r="22" spans="1:6" x14ac:dyDescent="0.6">
      <c r="A22" s="501" t="s">
        <v>539</v>
      </c>
      <c r="B22" s="6">
        <f>'Table 3.6-PARS RTS Summary'!B62-B23</f>
        <v>1198105.8677342369</v>
      </c>
      <c r="C22" s="12" t="s">
        <v>241</v>
      </c>
      <c r="D22" s="121">
        <f>'Table 3.29-UAA MP Units'!B7</f>
        <v>0.36146745360242255</v>
      </c>
      <c r="E22" s="12" t="s">
        <v>239</v>
      </c>
      <c r="F22" s="175">
        <f>B22*D22</f>
        <v>433076.27715601545</v>
      </c>
    </row>
    <row r="23" spans="1:6" x14ac:dyDescent="0.6">
      <c r="A23" s="545" t="s">
        <v>545</v>
      </c>
      <c r="B23" s="6">
        <f>SUM('Table 3.6-PARS RTS Summary'!B9,'Table 3.6-PARS RTS Summary'!B17,'Table 3.6-PARS RTS Summary'!B27,'Table 3.6-PARS RTS Summary'!B37,'Table 3.6-PARS RTS Summary'!B48,'Table 3.6-PARS RTS Summary'!B58)</f>
        <v>59546.803265763076</v>
      </c>
      <c r="C23" s="12" t="s">
        <v>241</v>
      </c>
      <c r="D23" s="121">
        <f>'Table 3.29-UAA MP Units'!C7</f>
        <v>1.0931943472009846</v>
      </c>
      <c r="E23" s="12" t="s">
        <v>239</v>
      </c>
      <c r="F23" s="175">
        <f>B23*D23</f>
        <v>65096.228724021326</v>
      </c>
    </row>
    <row r="24" spans="1:6" x14ac:dyDescent="0.6">
      <c r="A24" s="501" t="s">
        <v>102</v>
      </c>
      <c r="B24" s="6">
        <f>SUM(B22:B23)</f>
        <v>1257652.6709999999</v>
      </c>
      <c r="D24" s="121">
        <f>F24/B24</f>
        <v>0.39611294705391425</v>
      </c>
      <c r="F24" s="165">
        <f>SUM(F22:F23)</f>
        <v>498172.5058800368</v>
      </c>
    </row>
    <row r="25" spans="1:6" ht="5.15" customHeight="1" x14ac:dyDescent="0.6"/>
    <row r="26" spans="1:6" x14ac:dyDescent="0.6">
      <c r="A26" s="111" t="s">
        <v>490</v>
      </c>
    </row>
    <row r="27" spans="1:6" x14ac:dyDescent="0.6">
      <c r="A27" s="501" t="s">
        <v>539</v>
      </c>
      <c r="B27">
        <v>0</v>
      </c>
      <c r="D27" s="121">
        <f>'Table 3.29-UAA MP Units'!B7</f>
        <v>0.36146745360242255</v>
      </c>
      <c r="E27" s="12" t="s">
        <v>239</v>
      </c>
      <c r="F27" s="165">
        <f>B27*D27</f>
        <v>0</v>
      </c>
    </row>
    <row r="28" spans="1:6" x14ac:dyDescent="0.6">
      <c r="A28" s="501" t="s">
        <v>540</v>
      </c>
      <c r="B28" s="6">
        <f>'Table 3.29-UAA MP Units'!C28-B23</f>
        <v>17386.690411196272</v>
      </c>
      <c r="C28" s="12" t="s">
        <v>240</v>
      </c>
      <c r="D28" s="121">
        <f>'Table 3.29-UAA MP Units'!C7</f>
        <v>1.0931943472009846</v>
      </c>
      <c r="E28" s="12" t="s">
        <v>239</v>
      </c>
      <c r="F28" s="165">
        <f>B28*D28</f>
        <v>19007.031674053327</v>
      </c>
    </row>
    <row r="29" spans="1:6" x14ac:dyDescent="0.6">
      <c r="A29" s="501" t="s">
        <v>148</v>
      </c>
      <c r="B29" s="6">
        <f>'Table 3.29-UAA MP Units'!D28</f>
        <v>61503.971930309344</v>
      </c>
      <c r="C29" s="12" t="s">
        <v>239</v>
      </c>
      <c r="D29" s="121">
        <f>'Table 3.29-UAA MP Units'!D7</f>
        <v>1.1227496671755588</v>
      </c>
      <c r="E29" s="12" t="s">
        <v>239</v>
      </c>
      <c r="F29" s="165">
        <f>B29*D29</f>
        <v>69053.564014729724</v>
      </c>
    </row>
    <row r="30" spans="1:6" x14ac:dyDescent="0.6">
      <c r="A30" s="501" t="s">
        <v>541</v>
      </c>
      <c r="B30" s="6">
        <f>'Table 3.29-UAA MP Units'!E28</f>
        <v>0</v>
      </c>
      <c r="C30" s="12" t="s">
        <v>239</v>
      </c>
      <c r="D30" s="121">
        <f>'Table 3.29-UAA MP Units'!E7</f>
        <v>0</v>
      </c>
      <c r="E30" s="12" t="s">
        <v>239</v>
      </c>
      <c r="F30" s="165">
        <f>B30*D30</f>
        <v>0</v>
      </c>
    </row>
    <row r="31" spans="1:6" x14ac:dyDescent="0.6">
      <c r="A31" s="545" t="s">
        <v>542</v>
      </c>
      <c r="B31" s="6">
        <f>'Table 3.29-UAA MP Units'!F28</f>
        <v>8621.9374269163127</v>
      </c>
      <c r="C31" s="12" t="s">
        <v>239</v>
      </c>
      <c r="D31" s="121">
        <f>'Table 3.29-UAA MP Units'!F7</f>
        <v>14.908363142358921</v>
      </c>
      <c r="E31" s="12" t="s">
        <v>239</v>
      </c>
      <c r="F31" s="165">
        <f>B31*D31</f>
        <v>128538.97415116406</v>
      </c>
    </row>
    <row r="32" spans="1:6" x14ac:dyDescent="0.6">
      <c r="A32" s="501" t="s">
        <v>102</v>
      </c>
      <c r="B32" s="6">
        <f>SUM(B27:B31)</f>
        <v>87512.599768421918</v>
      </c>
      <c r="D32" s="121">
        <f>F32/B32</f>
        <v>2.4750672521798966</v>
      </c>
      <c r="F32" s="165">
        <f>SUM(F27:F31)</f>
        <v>216599.5698399471</v>
      </c>
    </row>
    <row r="33" spans="1:6" ht="5.15" customHeight="1" x14ac:dyDescent="0.6"/>
    <row r="34" spans="1:6" x14ac:dyDescent="0.6">
      <c r="A34" s="546" t="s">
        <v>544</v>
      </c>
      <c r="B34" s="6">
        <f>B24+B32</f>
        <v>1345165.2707684217</v>
      </c>
      <c r="D34" s="121">
        <f>F34/B34</f>
        <v>0.53136375971977956</v>
      </c>
      <c r="F34" s="165">
        <f>F24+F32</f>
        <v>714772.0757199839</v>
      </c>
    </row>
    <row r="35" spans="1:6" hidden="1" x14ac:dyDescent="0.6"/>
    <row r="36" spans="1:6" hidden="1" x14ac:dyDescent="0.6">
      <c r="A36" s="14" t="s">
        <v>191</v>
      </c>
      <c r="B36" s="143">
        <f>B18-'Table 3.29-UAA MP Units'!G27</f>
        <v>0</v>
      </c>
      <c r="D36" s="143">
        <f>D18-'Table 3.29-UAA MP Units'!G6</f>
        <v>0</v>
      </c>
      <c r="F36" s="143">
        <f>F18-PRODUCT('Table 3.29-UAA MP Units'!G6,'Table 3.29-UAA MP Units'!G27)</f>
        <v>0</v>
      </c>
    </row>
    <row r="37" spans="1:6" hidden="1" x14ac:dyDescent="0.6">
      <c r="B37" s="143">
        <f>B34-'Table 3.29-UAA MP Units'!G28</f>
        <v>0</v>
      </c>
      <c r="D37" s="143">
        <f>D34-'Table 3.29-UAA MP Units'!G7</f>
        <v>0</v>
      </c>
      <c r="F37" s="143">
        <f>F34-PRODUCT('Table 3.29-UAA MP Units'!G7,'Table 3.29-UAA MP Units'!G28)</f>
        <v>0</v>
      </c>
    </row>
    <row r="38" spans="1:6" hidden="1" x14ac:dyDescent="0.6">
      <c r="B38" s="143">
        <f>B6-'Table 3.29-UAA MP Units'!B27</f>
        <v>0</v>
      </c>
      <c r="D38" s="143">
        <f>B22-'Table 3.29-UAA MP Units'!B28</f>
        <v>0</v>
      </c>
      <c r="F38" s="143"/>
    </row>
    <row r="39" spans="1:6" hidden="1" x14ac:dyDescent="0.6">
      <c r="B39" s="143">
        <f>SUM(B7,B12)-'Table 3.29-UAA MP Units'!C27</f>
        <v>0</v>
      </c>
      <c r="D39" s="143">
        <f>SUM(B23,B28)-'Table 3.29-UAA MP Units'!C28</f>
        <v>0</v>
      </c>
      <c r="F39" s="143"/>
    </row>
    <row r="40" spans="1:6" x14ac:dyDescent="0.6">
      <c r="A40" s="141"/>
      <c r="B40" s="283"/>
      <c r="C40" s="283"/>
      <c r="D40" s="283"/>
    </row>
    <row r="41" spans="1:6" x14ac:dyDescent="0.6">
      <c r="A41" s="11" t="s">
        <v>235</v>
      </c>
    </row>
    <row r="42" spans="1:6" x14ac:dyDescent="0.6">
      <c r="A42" s="12" t="s">
        <v>546</v>
      </c>
    </row>
    <row r="43" spans="1:6" x14ac:dyDescent="0.6">
      <c r="A43" s="12" t="s">
        <v>663</v>
      </c>
    </row>
    <row r="44" spans="1:6" x14ac:dyDescent="0.6">
      <c r="A44" s="12" t="s">
        <v>700</v>
      </c>
    </row>
    <row r="45" spans="1:6" x14ac:dyDescent="0.6">
      <c r="A45" s="12" t="s">
        <v>37</v>
      </c>
    </row>
    <row r="46" spans="1:6" x14ac:dyDescent="0.6">
      <c r="A46" s="12" t="s">
        <v>664</v>
      </c>
    </row>
  </sheetData>
  <phoneticPr fontId="5" type="noConversion"/>
  <printOptions horizontalCentered="1"/>
  <pageMargins left="0.75" right="0.75" top="1" bottom="1" header="0.5" footer="0.5"/>
  <pageSetup scale="94" orientation="landscape" r:id="rId1"/>
  <headerFooter alignWithMargins="0">
    <oddFooter>&amp;L&amp;F</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pageSetUpPr fitToPage="1"/>
  </sheetPr>
  <dimension ref="A1:J36"/>
  <sheetViews>
    <sheetView zoomScale="70" workbookViewId="0"/>
  </sheetViews>
  <sheetFormatPr defaultRowHeight="13" x14ac:dyDescent="0.6"/>
  <cols>
    <col min="1" max="1" width="25.86328125" bestFit="1" customWidth="1"/>
    <col min="2" max="4" width="11.6796875" customWidth="1"/>
    <col min="5" max="5" width="3.54296875" customWidth="1"/>
    <col min="6" max="6" width="11.6796875" customWidth="1"/>
    <col min="7" max="7" width="3.54296875" customWidth="1"/>
    <col min="8" max="9" width="11.6796875" customWidth="1"/>
  </cols>
  <sheetData>
    <row r="1" spans="1:10" ht="15.5" x14ac:dyDescent="0.7">
      <c r="A1" s="158" t="s">
        <v>712</v>
      </c>
    </row>
    <row r="2" spans="1:10" ht="15.5" x14ac:dyDescent="0.7">
      <c r="A2" s="158" t="s">
        <v>787</v>
      </c>
    </row>
    <row r="3" spans="1:10" ht="5.15" customHeight="1" x14ac:dyDescent="0.7">
      <c r="A3" s="454"/>
    </row>
    <row r="4" spans="1:10" x14ac:dyDescent="0.6">
      <c r="A4" s="15" t="s">
        <v>224</v>
      </c>
    </row>
    <row r="5" spans="1:10" ht="26" x14ac:dyDescent="0.6">
      <c r="B5" s="168" t="s">
        <v>250</v>
      </c>
      <c r="C5" s="198" t="s">
        <v>104</v>
      </c>
      <c r="D5" s="189" t="s">
        <v>249</v>
      </c>
      <c r="E5" s="198"/>
      <c r="F5" s="199" t="s">
        <v>246</v>
      </c>
      <c r="G5" s="199"/>
      <c r="H5" s="160" t="s">
        <v>218</v>
      </c>
      <c r="I5" s="41" t="s">
        <v>133</v>
      </c>
      <c r="J5" s="4"/>
    </row>
    <row r="6" spans="1:10" x14ac:dyDescent="0.6">
      <c r="A6" s="49" t="s">
        <v>439</v>
      </c>
      <c r="B6" s="168"/>
      <c r="C6" s="198"/>
      <c r="D6" s="189"/>
      <c r="E6" s="198"/>
      <c r="F6" s="199"/>
      <c r="G6" s="199"/>
      <c r="H6" s="160"/>
      <c r="I6" s="41"/>
      <c r="J6" s="4"/>
    </row>
    <row r="7" spans="1:10" x14ac:dyDescent="0.6">
      <c r="A7" s="81" t="s">
        <v>278</v>
      </c>
      <c r="B7" s="168">
        <v>0</v>
      </c>
      <c r="C7" s="83" t="str">
        <f>IF(ISERROR(D7/B7),"n/a",D7/B7)</f>
        <v>n/a</v>
      </c>
      <c r="D7" s="52">
        <v>0</v>
      </c>
      <c r="E7" s="198"/>
      <c r="F7" s="54">
        <v>1.5107753644979616</v>
      </c>
      <c r="G7" s="199"/>
      <c r="H7" s="52">
        <f>F7*D7</f>
        <v>0</v>
      </c>
      <c r="I7" s="83" t="str">
        <f>IF(ISERROR(H7/B7),"n/a",H7/B7)</f>
        <v>n/a</v>
      </c>
      <c r="J7" s="4"/>
    </row>
    <row r="8" spans="1:10" x14ac:dyDescent="0.6">
      <c r="A8" s="81" t="s">
        <v>274</v>
      </c>
      <c r="B8" s="168">
        <v>1487.8210018153561</v>
      </c>
      <c r="C8" s="83">
        <f>IF(ISERROR(D8/B8),"n/a",D8/B8)</f>
        <v>0</v>
      </c>
      <c r="D8" s="52">
        <v>0</v>
      </c>
      <c r="E8" s="198"/>
      <c r="F8" s="54">
        <v>1.5107753644979616</v>
      </c>
      <c r="G8" s="199"/>
      <c r="H8" s="52">
        <f>F8*D8</f>
        <v>0</v>
      </c>
      <c r="I8" s="83">
        <f>IF(ISERROR(H8/B8),"n/a",H8/B8)</f>
        <v>0</v>
      </c>
      <c r="J8" s="4"/>
    </row>
    <row r="9" spans="1:10" x14ac:dyDescent="0.6">
      <c r="A9" s="82" t="s">
        <v>444</v>
      </c>
      <c r="B9" s="168">
        <f>SUM(B7:B8)</f>
        <v>1487.8210018153561</v>
      </c>
      <c r="C9" s="83">
        <f>IF(ISERROR(D9/B9),"n/a",D9/B9)</f>
        <v>0</v>
      </c>
      <c r="D9" s="52">
        <f>SUM(D7:D8)</f>
        <v>0</v>
      </c>
      <c r="E9" s="455" t="s">
        <v>239</v>
      </c>
      <c r="F9" s="54"/>
      <c r="G9" s="199"/>
      <c r="H9" s="52">
        <f>SUM(H7:H8)</f>
        <v>0</v>
      </c>
      <c r="I9" s="83">
        <f>IF(ISERROR(H9/B9),"n/a",H9/B9)</f>
        <v>0</v>
      </c>
      <c r="J9" s="4"/>
    </row>
    <row r="10" spans="1:10" x14ac:dyDescent="0.6">
      <c r="B10" s="168"/>
      <c r="C10" s="83"/>
      <c r="D10" s="189"/>
      <c r="E10" s="198"/>
      <c r="F10" s="199"/>
      <c r="G10" s="199"/>
      <c r="H10" s="160"/>
      <c r="I10" s="83"/>
      <c r="J10" s="4"/>
    </row>
    <row r="11" spans="1:10" x14ac:dyDescent="0.6">
      <c r="A11" s="49" t="s">
        <v>442</v>
      </c>
      <c r="B11" s="168"/>
      <c r="C11" s="83"/>
      <c r="D11" s="189"/>
      <c r="E11" s="198"/>
      <c r="F11" s="199"/>
      <c r="G11" s="199"/>
      <c r="H11" s="160"/>
      <c r="I11" s="83"/>
      <c r="J11" s="4"/>
    </row>
    <row r="12" spans="1:10" x14ac:dyDescent="0.6">
      <c r="A12" s="81" t="s">
        <v>278</v>
      </c>
      <c r="B12" s="168">
        <v>0</v>
      </c>
      <c r="C12" s="83" t="str">
        <f>IF(ISERROR(D12/B12),"n/a",D12/B12)</f>
        <v>n/a</v>
      </c>
      <c r="D12" s="52">
        <v>0</v>
      </c>
      <c r="E12" s="198"/>
      <c r="F12" s="54">
        <v>1.5107753644979616</v>
      </c>
      <c r="G12" s="199"/>
      <c r="H12" s="52">
        <f>F12*D12</f>
        <v>0</v>
      </c>
      <c r="I12" s="83" t="str">
        <f>IF(ISERROR(H12/B12),"n/a",H12/B12)</f>
        <v>n/a</v>
      </c>
      <c r="J12" s="4"/>
    </row>
    <row r="13" spans="1:10" x14ac:dyDescent="0.6">
      <c r="A13" s="81" t="s">
        <v>274</v>
      </c>
      <c r="B13" s="168">
        <v>290.7636220537417</v>
      </c>
      <c r="C13" s="83">
        <f>IF(ISERROR(D13/B13),"n/a",D13/B13)</f>
        <v>0.13470611382690373</v>
      </c>
      <c r="D13" s="52">
        <v>39.167637569094147</v>
      </c>
      <c r="E13" s="198"/>
      <c r="F13" s="54">
        <v>1.5107753644979616</v>
      </c>
      <c r="G13" s="199"/>
      <c r="H13" s="52">
        <f>F13*D13</f>
        <v>59.173501924972264</v>
      </c>
      <c r="I13" s="83">
        <f>IF(ISERROR(H13/B13),"n/a",H13/B13)</f>
        <v>0.20351067821694441</v>
      </c>
      <c r="J13" s="4"/>
    </row>
    <row r="14" spans="1:10" x14ac:dyDescent="0.6">
      <c r="A14" s="81" t="s">
        <v>445</v>
      </c>
      <c r="B14" s="168">
        <f>SUM(B12:B13)</f>
        <v>290.7636220537417</v>
      </c>
      <c r="C14" s="83">
        <f>IF(ISERROR(D14/B14),"n/a",D14/B14)</f>
        <v>0.13470611382690373</v>
      </c>
      <c r="D14" s="52">
        <f>SUM(D12:D13)</f>
        <v>39.167637569094147</v>
      </c>
      <c r="E14" s="198"/>
      <c r="F14" s="199"/>
      <c r="G14" s="199"/>
      <c r="H14" s="52">
        <f>SUM(H12:H13)</f>
        <v>59.173501924972264</v>
      </c>
      <c r="I14" s="83">
        <f>IF(ISERROR(H14/B14),"n/a",H14/B14)</f>
        <v>0.20351067821694441</v>
      </c>
      <c r="J14" s="4"/>
    </row>
    <row r="15" spans="1:10" x14ac:dyDescent="0.6">
      <c r="A15" s="81"/>
      <c r="B15" s="168"/>
      <c r="C15" s="83"/>
      <c r="D15" s="189"/>
      <c r="E15" s="198"/>
      <c r="F15" s="199"/>
      <c r="G15" s="199"/>
      <c r="H15" s="160"/>
      <c r="I15" s="83"/>
      <c r="J15" s="4"/>
    </row>
    <row r="16" spans="1:10" x14ac:dyDescent="0.6">
      <c r="A16" s="49" t="s">
        <v>449</v>
      </c>
      <c r="B16" s="168"/>
      <c r="C16" s="83"/>
      <c r="D16" s="189"/>
      <c r="E16" s="198"/>
      <c r="F16" s="199"/>
      <c r="G16" s="199"/>
      <c r="H16" s="160"/>
      <c r="I16" s="83"/>
      <c r="J16" s="4"/>
    </row>
    <row r="17" spans="1:10" x14ac:dyDescent="0.6">
      <c r="A17" s="12" t="s">
        <v>278</v>
      </c>
      <c r="C17" s="83"/>
      <c r="I17" s="22"/>
      <c r="J17" s="11"/>
    </row>
    <row r="18" spans="1:10" s="11" customFormat="1" x14ac:dyDescent="0.6">
      <c r="A18" s="21" t="s">
        <v>148</v>
      </c>
      <c r="B18" s="53">
        <v>0</v>
      </c>
      <c r="C18" s="83" t="str">
        <f>IF(ISERROR(D18/B18),"n/a",D18/B18)</f>
        <v>n/a</v>
      </c>
      <c r="D18" s="52">
        <v>0</v>
      </c>
      <c r="F18" s="72">
        <v>1.5107753644979616</v>
      </c>
      <c r="G18" s="23"/>
      <c r="H18" s="52">
        <f>F18*D18</f>
        <v>0</v>
      </c>
      <c r="I18" s="83" t="str">
        <f>IF(ISERROR(H18/B18),"n/a",H18/B18)</f>
        <v>n/a</v>
      </c>
    </row>
    <row r="19" spans="1:10" s="11" customFormat="1" x14ac:dyDescent="0.6">
      <c r="A19" s="21" t="s">
        <v>149</v>
      </c>
      <c r="B19" s="53">
        <v>250.04791965190017</v>
      </c>
      <c r="C19" s="83">
        <f>IF(ISERROR(D19/B19),"n/a",D19/B19)</f>
        <v>0.12900675850551857</v>
      </c>
      <c r="D19" s="52">
        <v>32.257871585339998</v>
      </c>
      <c r="F19" s="72">
        <v>1.5107753644979616</v>
      </c>
      <c r="G19" s="23"/>
      <c r="H19" s="52">
        <f>F19*D19</f>
        <v>48.734397702270471</v>
      </c>
      <c r="I19" s="83">
        <f>IF(ISERROR(H19/B19),"n/a",H19/B19)</f>
        <v>0.19490023260387532</v>
      </c>
    </row>
    <row r="20" spans="1:10" s="11" customFormat="1" x14ac:dyDescent="0.6">
      <c r="A20" s="25" t="s">
        <v>150</v>
      </c>
      <c r="B20" s="168">
        <f>SUM(B18:B19)</f>
        <v>250.04791965190017</v>
      </c>
      <c r="C20" s="83">
        <f>IF(ISERROR(D20/B20),"n/a",D20/B20)</f>
        <v>0.12900675850551857</v>
      </c>
      <c r="D20" s="52">
        <f>SUM(D18:D19)</f>
        <v>32.257871585339998</v>
      </c>
      <c r="F20" s="72"/>
      <c r="G20" s="23"/>
      <c r="H20" s="52">
        <f>SUM(H18:H19)</f>
        <v>48.734397702270471</v>
      </c>
      <c r="I20" s="83">
        <f>IF(ISERROR(H20/B20),"n/a",H20/B20)</f>
        <v>0.19490023260387532</v>
      </c>
      <c r="J20" s="25"/>
    </row>
    <row r="21" spans="1:10" s="11" customFormat="1" x14ac:dyDescent="0.6">
      <c r="A21" s="21"/>
      <c r="B21" s="53"/>
      <c r="C21" s="83"/>
      <c r="D21" s="52"/>
      <c r="F21" s="72"/>
      <c r="G21" s="23"/>
      <c r="H21" s="42"/>
      <c r="I21" s="86"/>
    </row>
    <row r="22" spans="1:10" x14ac:dyDescent="0.6">
      <c r="A22" s="12" t="s">
        <v>280</v>
      </c>
      <c r="C22" s="83"/>
      <c r="D22" s="52"/>
      <c r="H22" s="165"/>
      <c r="I22" s="22"/>
    </row>
    <row r="23" spans="1:10" x14ac:dyDescent="0.6">
      <c r="A23" s="21" t="s">
        <v>148</v>
      </c>
      <c r="B23" s="53">
        <v>906.81329037559465</v>
      </c>
      <c r="C23" s="83">
        <f>IF(ISERROR(D23/B23),"n/a",D23/B23)</f>
        <v>0.27257286228641586</v>
      </c>
      <c r="D23" s="52">
        <v>247.17269411703862</v>
      </c>
      <c r="E23" s="11"/>
      <c r="F23" s="72">
        <v>1.5107753644979616</v>
      </c>
      <c r="G23" s="23"/>
      <c r="H23" s="52">
        <f>F23*D23</f>
        <v>373.4224170486122</v>
      </c>
      <c r="I23" s="83">
        <f>IF(ISERROR(H23/B23),"n/a",H23/B23)</f>
        <v>0.41179636537301267</v>
      </c>
    </row>
    <row r="24" spans="1:10" x14ac:dyDescent="0.6">
      <c r="A24" s="21" t="s">
        <v>149</v>
      </c>
      <c r="B24" s="53">
        <v>3005.7117175990679</v>
      </c>
      <c r="C24" s="83">
        <f>IF(ISERROR(D24/B24),"n/a",D24/B24)</f>
        <v>0.12900675850551852</v>
      </c>
      <c r="D24" s="52">
        <v>387.75712568951019</v>
      </c>
      <c r="E24" s="11"/>
      <c r="F24" s="72">
        <v>1.5107753644979616</v>
      </c>
      <c r="G24" s="23"/>
      <c r="H24" s="52">
        <f>F24*D24</f>
        <v>585.81391290025169</v>
      </c>
      <c r="I24" s="83">
        <f>IF(ISERROR(H24/B24),"n/a",H24/B24)</f>
        <v>0.19490023260387523</v>
      </c>
    </row>
    <row r="25" spans="1:10" x14ac:dyDescent="0.6">
      <c r="A25" s="25" t="s">
        <v>151</v>
      </c>
      <c r="B25" s="168">
        <f>SUM(B23:B24)</f>
        <v>3912.5250079746625</v>
      </c>
      <c r="C25" s="83">
        <f>IF(ISERROR(D25/B25),"n/a",D25/B25)</f>
        <v>0.16228134478691122</v>
      </c>
      <c r="D25" s="52">
        <f>SUM(D23:D24)</f>
        <v>634.92981980654884</v>
      </c>
      <c r="E25" s="11"/>
      <c r="F25" s="72"/>
      <c r="G25" s="23"/>
      <c r="H25" s="52">
        <f>SUM(H23:H24)</f>
        <v>959.23632994886384</v>
      </c>
      <c r="I25" s="83">
        <f>IF(ISERROR(H25/B25),"n/a",H25/B25)</f>
        <v>0.24517065782166519</v>
      </c>
    </row>
    <row r="26" spans="1:10" x14ac:dyDescent="0.6">
      <c r="C26" s="83"/>
      <c r="D26" s="52"/>
      <c r="H26" s="165"/>
      <c r="I26" s="22"/>
    </row>
    <row r="27" spans="1:10" x14ac:dyDescent="0.6">
      <c r="A27" s="15" t="s">
        <v>225</v>
      </c>
      <c r="B27" s="6">
        <f>SUM(B9,B14,B20,B25)</f>
        <v>5941.1575514956603</v>
      </c>
      <c r="C27" s="83">
        <f>IF(ISERROR(D27/B27),"n/a",D27/B27)</f>
        <v>0.11889186961270892</v>
      </c>
      <c r="D27" s="52">
        <f>SUM(D9,D14,D20,D25)</f>
        <v>706.355328960983</v>
      </c>
      <c r="F27" s="72"/>
      <c r="H27" s="52">
        <f>SUM(H9,H14,H20,H25)</f>
        <v>1067.1442295761067</v>
      </c>
      <c r="I27" s="83">
        <f>IF(ISERROR(H27/B27),"n/a",H27/B27)</f>
        <v>0.17961890764998445</v>
      </c>
    </row>
    <row r="28" spans="1:10" hidden="1" x14ac:dyDescent="0.6">
      <c r="D28" s="22"/>
    </row>
    <row r="29" spans="1:10" hidden="1" x14ac:dyDescent="0.6">
      <c r="A29" s="547" t="s">
        <v>191</v>
      </c>
      <c r="B29" s="133">
        <v>0</v>
      </c>
      <c r="C29" s="133">
        <v>0</v>
      </c>
      <c r="D29" s="133">
        <v>0</v>
      </c>
      <c r="F29" s="134"/>
      <c r="H29" s="133">
        <f>H27/D27-F24</f>
        <v>0</v>
      </c>
      <c r="I29" s="133">
        <f>I27/C27-F24</f>
        <v>0</v>
      </c>
    </row>
    <row r="30" spans="1:10" x14ac:dyDescent="0.6">
      <c r="A30" s="283"/>
      <c r="B30" s="283"/>
      <c r="C30" s="283"/>
      <c r="D30" s="283"/>
    </row>
    <row r="31" spans="1:10" x14ac:dyDescent="0.6">
      <c r="A31" t="s">
        <v>235</v>
      </c>
    </row>
    <row r="32" spans="1:10" x14ac:dyDescent="0.6">
      <c r="A32" s="25" t="s">
        <v>800</v>
      </c>
    </row>
    <row r="33" spans="1:9" x14ac:dyDescent="0.6">
      <c r="A33" s="25" t="s">
        <v>795</v>
      </c>
    </row>
    <row r="34" spans="1:9" x14ac:dyDescent="0.6">
      <c r="A34" s="12" t="s">
        <v>450</v>
      </c>
    </row>
    <row r="35" spans="1:9" x14ac:dyDescent="0.6">
      <c r="A35" s="12" t="s">
        <v>665</v>
      </c>
    </row>
    <row r="36" spans="1:9" x14ac:dyDescent="0.6">
      <c r="A36" s="27"/>
      <c r="B36" s="27"/>
      <c r="C36" s="27"/>
      <c r="D36" s="27"/>
      <c r="E36" s="27"/>
      <c r="F36" s="27"/>
      <c r="G36" s="27"/>
      <c r="H36" s="27"/>
      <c r="I36" s="27"/>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8">
    <pageSetUpPr fitToPage="1"/>
  </sheetPr>
  <dimension ref="A1:J25"/>
  <sheetViews>
    <sheetView zoomScale="70" workbookViewId="0"/>
  </sheetViews>
  <sheetFormatPr defaultColWidth="9.08984375" defaultRowHeight="13" x14ac:dyDescent="0.6"/>
  <cols>
    <col min="1" max="1" width="43.453125" style="11" customWidth="1"/>
    <col min="2" max="4" width="11.6796875" style="11" customWidth="1"/>
    <col min="5" max="5" width="2.6796875" style="11" customWidth="1"/>
    <col min="6" max="6" width="11.6796875" style="11" customWidth="1"/>
    <col min="7" max="7" width="2.6796875" style="11" customWidth="1"/>
    <col min="8" max="9" width="11.6796875" style="11" customWidth="1"/>
    <col min="10" max="16384" width="9.08984375" style="11"/>
  </cols>
  <sheetData>
    <row r="1" spans="1:10" ht="15.5" x14ac:dyDescent="0.7">
      <c r="A1" s="158" t="s">
        <v>713</v>
      </c>
    </row>
    <row r="2" spans="1:10" ht="15.5" x14ac:dyDescent="0.7">
      <c r="A2" s="158" t="s">
        <v>787</v>
      </c>
    </row>
    <row r="3" spans="1:10" s="4" customFormat="1" ht="26" x14ac:dyDescent="0.6">
      <c r="A3" s="16" t="s">
        <v>155</v>
      </c>
      <c r="B3" s="168" t="s">
        <v>250</v>
      </c>
      <c r="C3" s="183" t="s">
        <v>104</v>
      </c>
      <c r="D3" s="189" t="s">
        <v>249</v>
      </c>
      <c r="E3" s="161"/>
      <c r="F3" s="160" t="s">
        <v>246</v>
      </c>
      <c r="G3" s="159"/>
      <c r="H3" s="159" t="s">
        <v>133</v>
      </c>
      <c r="I3" s="41" t="s">
        <v>158</v>
      </c>
    </row>
    <row r="4" spans="1:10" x14ac:dyDescent="0.6">
      <c r="A4" s="21" t="s">
        <v>153</v>
      </c>
      <c r="B4" s="184">
        <v>1300.1834912488675</v>
      </c>
      <c r="C4" s="186">
        <f>D4/B4</f>
        <v>0.42963966796544323</v>
      </c>
      <c r="D4" s="191">
        <v>558.61040347431424</v>
      </c>
      <c r="E4" s="192"/>
      <c r="F4" s="192">
        <v>3.9203843922420463</v>
      </c>
      <c r="G4" s="192"/>
      <c r="H4" s="186">
        <f>C4*F4</f>
        <v>1.6843526485797786</v>
      </c>
      <c r="I4" s="211">
        <f>B4/B$4*H4</f>
        <v>1.6843526485797786</v>
      </c>
    </row>
    <row r="5" spans="1:10" x14ac:dyDescent="0.6">
      <c r="A5" s="101" t="s">
        <v>152</v>
      </c>
      <c r="B5" s="184">
        <v>1300.1834912488675</v>
      </c>
      <c r="C5" s="186">
        <f>D5/B5</f>
        <v>0.29281721545919498</v>
      </c>
      <c r="D5" s="191">
        <v>380.71610949350799</v>
      </c>
      <c r="E5" s="194"/>
      <c r="F5" s="192">
        <v>3.9203843922420463</v>
      </c>
      <c r="G5" s="195"/>
      <c r="H5" s="186">
        <f>C5*F5</f>
        <v>1.1479560412660044</v>
      </c>
      <c r="I5" s="211">
        <f>B5/B$4*H5</f>
        <v>1.1479560412660044</v>
      </c>
    </row>
    <row r="6" spans="1:10" x14ac:dyDescent="0.6">
      <c r="B6" s="194"/>
      <c r="C6" s="211"/>
      <c r="D6" s="191"/>
      <c r="E6" s="194"/>
      <c r="F6" s="195"/>
      <c r="G6" s="195"/>
      <c r="H6" s="186"/>
      <c r="I6" s="211"/>
    </row>
    <row r="7" spans="1:10" x14ac:dyDescent="0.6">
      <c r="A7" s="91" t="s">
        <v>163</v>
      </c>
      <c r="B7" s="194"/>
      <c r="C7" s="211"/>
      <c r="D7" s="191"/>
      <c r="E7" s="194"/>
      <c r="F7" s="195"/>
      <c r="G7" s="195"/>
      <c r="H7" s="186"/>
      <c r="I7" s="186">
        <f>SUM(I4:I5)</f>
        <v>2.832308689845783</v>
      </c>
      <c r="J7" s="25"/>
    </row>
    <row r="8" spans="1:10" x14ac:dyDescent="0.6">
      <c r="B8" s="194"/>
      <c r="C8" s="211"/>
      <c r="D8" s="191"/>
      <c r="E8" s="194"/>
      <c r="F8" s="195"/>
      <c r="G8" s="195"/>
      <c r="H8" s="186"/>
      <c r="I8" s="211"/>
    </row>
    <row r="9" spans="1:10" x14ac:dyDescent="0.6">
      <c r="A9" s="5" t="s">
        <v>157</v>
      </c>
      <c r="B9" s="47"/>
      <c r="C9" s="211"/>
      <c r="D9" s="212"/>
      <c r="E9" s="47"/>
      <c r="F9" s="47"/>
      <c r="G9" s="47"/>
      <c r="H9" s="211"/>
      <c r="I9" s="211"/>
    </row>
    <row r="10" spans="1:10" x14ac:dyDescent="0.6">
      <c r="A10" s="21" t="s">
        <v>153</v>
      </c>
      <c r="B10" s="184">
        <v>12607.944128589437</v>
      </c>
      <c r="C10" s="186">
        <f>D10/B10</f>
        <v>0.42963966796544328</v>
      </c>
      <c r="D10" s="191">
        <v>5416.872929134026</v>
      </c>
      <c r="E10" s="47"/>
      <c r="F10" s="192">
        <v>3.9203843922420463</v>
      </c>
      <c r="G10" s="47"/>
      <c r="H10" s="186">
        <f>C10*F10</f>
        <v>1.6843526485797788</v>
      </c>
      <c r="I10" s="211">
        <f>B10/B$10*H10</f>
        <v>1.6843526485797788</v>
      </c>
    </row>
    <row r="11" spans="1:10" x14ac:dyDescent="0.6">
      <c r="A11" s="101" t="s">
        <v>152</v>
      </c>
      <c r="B11" s="184">
        <v>12607.944128589437</v>
      </c>
      <c r="C11" s="186">
        <f>D11/B11</f>
        <v>0.29281721545919498</v>
      </c>
      <c r="D11" s="191">
        <v>3691.8230923986657</v>
      </c>
      <c r="E11" s="47"/>
      <c r="F11" s="192">
        <v>3.9203843922420463</v>
      </c>
      <c r="G11" s="47"/>
      <c r="H11" s="186">
        <f>C11*F11</f>
        <v>1.1479560412660044</v>
      </c>
      <c r="I11" s="211">
        <f>B11/B$10*H11</f>
        <v>1.1479560412660044</v>
      </c>
    </row>
    <row r="12" spans="1:10" x14ac:dyDescent="0.6">
      <c r="B12" s="47"/>
      <c r="C12" s="47"/>
      <c r="D12" s="47"/>
      <c r="E12" s="47"/>
      <c r="F12" s="47"/>
      <c r="G12" s="47"/>
      <c r="H12" s="47"/>
      <c r="I12" s="211"/>
    </row>
    <row r="13" spans="1:10" x14ac:dyDescent="0.6">
      <c r="A13" s="91" t="s">
        <v>266</v>
      </c>
      <c r="B13" s="47"/>
      <c r="C13" s="47"/>
      <c r="D13" s="47"/>
      <c r="E13" s="47"/>
      <c r="F13" s="47"/>
      <c r="G13" s="47"/>
      <c r="H13" s="47"/>
      <c r="I13" s="186">
        <f>SUM(I10:I11)</f>
        <v>2.8323086898457834</v>
      </c>
    </row>
    <row r="14" spans="1:10" hidden="1" x14ac:dyDescent="0.6"/>
    <row r="15" spans="1:10" hidden="1" x14ac:dyDescent="0.6">
      <c r="B15" s="549" t="s">
        <v>188</v>
      </c>
      <c r="C15" s="128">
        <v>0</v>
      </c>
      <c r="D15" s="128">
        <v>0</v>
      </c>
      <c r="F15" s="128">
        <f>(I7*B4+I13*B10)-SUM(D4:D5,D10:D11)*F4</f>
        <v>0</v>
      </c>
    </row>
    <row r="16" spans="1:10" hidden="1" x14ac:dyDescent="0.6">
      <c r="B16" s="549" t="s">
        <v>188</v>
      </c>
      <c r="C16" s="128">
        <v>0</v>
      </c>
      <c r="D16" s="128">
        <v>0</v>
      </c>
      <c r="F16" s="53"/>
    </row>
    <row r="17" spans="1:4" hidden="1" x14ac:dyDescent="0.6">
      <c r="B17" s="549" t="s">
        <v>188</v>
      </c>
      <c r="C17" s="128"/>
      <c r="D17" s="128">
        <v>0</v>
      </c>
    </row>
    <row r="18" spans="1:4" hidden="1" x14ac:dyDescent="0.6">
      <c r="B18" s="549" t="s">
        <v>188</v>
      </c>
      <c r="C18" s="128">
        <v>0</v>
      </c>
      <c r="D18" s="128">
        <v>0</v>
      </c>
    </row>
    <row r="19" spans="1:4" hidden="1" x14ac:dyDescent="0.6">
      <c r="B19" s="549" t="s">
        <v>188</v>
      </c>
      <c r="C19" s="128">
        <v>0</v>
      </c>
      <c r="D19" s="128">
        <v>0</v>
      </c>
    </row>
    <row r="20" spans="1:4" hidden="1" x14ac:dyDescent="0.6">
      <c r="B20" s="549" t="s">
        <v>188</v>
      </c>
      <c r="C20" s="128"/>
      <c r="D20" s="128">
        <v>0</v>
      </c>
    </row>
    <row r="21" spans="1:4" hidden="1" x14ac:dyDescent="0.6">
      <c r="A21" s="4"/>
      <c r="B21" s="550" t="s">
        <v>188</v>
      </c>
      <c r="C21" s="139">
        <f>C4-C10</f>
        <v>0</v>
      </c>
      <c r="D21" s="139">
        <f>C5-C11</f>
        <v>0</v>
      </c>
    </row>
    <row r="22" spans="1:4" x14ac:dyDescent="0.6">
      <c r="A22" s="141"/>
      <c r="B22" s="295"/>
      <c r="C22" s="296"/>
      <c r="D22" s="296"/>
    </row>
    <row r="23" spans="1:4" x14ac:dyDescent="0.6">
      <c r="A23" s="11" t="s">
        <v>235</v>
      </c>
    </row>
    <row r="24" spans="1:4" x14ac:dyDescent="0.6">
      <c r="A24" s="25" t="s">
        <v>814</v>
      </c>
    </row>
    <row r="25" spans="1:4" x14ac:dyDescent="0.6">
      <c r="A25" s="25" t="s">
        <v>795</v>
      </c>
    </row>
  </sheetData>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0">
    <pageSetUpPr fitToPage="1"/>
  </sheetPr>
  <dimension ref="A1:J39"/>
  <sheetViews>
    <sheetView zoomScale="70" workbookViewId="0"/>
  </sheetViews>
  <sheetFormatPr defaultColWidth="9.08984375" defaultRowHeight="13" x14ac:dyDescent="0.6"/>
  <cols>
    <col min="1" max="1" width="43.453125" style="11" customWidth="1"/>
    <col min="2" max="2" width="11.6796875" style="63" customWidth="1"/>
    <col min="3" max="3" width="11.6796875" style="64" customWidth="1"/>
    <col min="4" max="4" width="11.6796875" style="77" customWidth="1"/>
    <col min="5" max="5" width="2.54296875" style="11" customWidth="1"/>
    <col min="6" max="6" width="11.6796875" style="11" customWidth="1"/>
    <col min="7" max="7" width="2.54296875" style="11" customWidth="1"/>
    <col min="8" max="9" width="11.6796875" style="11" customWidth="1"/>
    <col min="10" max="16384" width="9.08984375" style="11"/>
  </cols>
  <sheetData>
    <row r="1" spans="1:10" ht="15.5" x14ac:dyDescent="0.7">
      <c r="A1" s="158" t="s">
        <v>714</v>
      </c>
    </row>
    <row r="2" spans="1:10" ht="15.5" x14ac:dyDescent="0.7">
      <c r="A2" s="158" t="s">
        <v>787</v>
      </c>
    </row>
    <row r="3" spans="1:10" s="4" customFormat="1" ht="26" x14ac:dyDescent="0.6">
      <c r="B3" s="168" t="s">
        <v>250</v>
      </c>
      <c r="C3" s="183" t="s">
        <v>104</v>
      </c>
      <c r="D3" s="189" t="s">
        <v>249</v>
      </c>
      <c r="E3" s="161"/>
      <c r="F3" s="160" t="s">
        <v>246</v>
      </c>
      <c r="G3" s="159"/>
      <c r="H3" s="159" t="s">
        <v>133</v>
      </c>
      <c r="I3" s="41" t="s">
        <v>158</v>
      </c>
    </row>
    <row r="4" spans="1:10" x14ac:dyDescent="0.6">
      <c r="A4" s="16" t="s">
        <v>155</v>
      </c>
      <c r="B4" s="50"/>
      <c r="C4" s="38"/>
      <c r="E4" s="4"/>
      <c r="F4" s="4"/>
      <c r="G4" s="4"/>
      <c r="H4" s="38"/>
    </row>
    <row r="5" spans="1:10" x14ac:dyDescent="0.6">
      <c r="A5" s="97" t="s">
        <v>156</v>
      </c>
      <c r="B5" s="184">
        <v>965.38385222679847</v>
      </c>
      <c r="C5" s="186">
        <f>D5/B5</f>
        <v>0.3244336046019643</v>
      </c>
      <c r="D5" s="191">
        <v>313.20296300247026</v>
      </c>
      <c r="E5" s="188"/>
      <c r="F5" s="192">
        <v>1.3727750819950504</v>
      </c>
      <c r="G5" s="192"/>
      <c r="H5" s="186">
        <f>C5*F5</f>
        <v>0.44537436815941128</v>
      </c>
      <c r="I5" s="211">
        <f>H5*B5/$B$5</f>
        <v>0.44537436815941128</v>
      </c>
    </row>
    <row r="6" spans="1:10" x14ac:dyDescent="0.6">
      <c r="A6" s="97" t="s">
        <v>160</v>
      </c>
      <c r="B6" s="184"/>
      <c r="C6" s="186"/>
      <c r="D6" s="191"/>
      <c r="E6" s="188"/>
      <c r="F6" s="192"/>
      <c r="G6" s="192"/>
      <c r="H6" s="186"/>
      <c r="I6" s="211"/>
    </row>
    <row r="7" spans="1:10" x14ac:dyDescent="0.6">
      <c r="A7" s="99" t="s">
        <v>161</v>
      </c>
      <c r="B7" s="184">
        <v>67.870901292686028</v>
      </c>
      <c r="C7" s="186">
        <f>D7/B7</f>
        <v>0.33151577415804934</v>
      </c>
      <c r="D7" s="191">
        <v>22.500274384849359</v>
      </c>
      <c r="E7" s="188"/>
      <c r="F7" s="192">
        <v>1.3727750819950504</v>
      </c>
      <c r="G7" s="192"/>
      <c r="H7" s="186">
        <f>C7*F7</f>
        <v>0.45509659405246877</v>
      </c>
      <c r="I7" s="211">
        <f>H7*B7/$B$5</f>
        <v>3.1995372558102628E-2</v>
      </c>
    </row>
    <row r="8" spans="1:10" x14ac:dyDescent="0.6">
      <c r="A8" s="99" t="s">
        <v>162</v>
      </c>
      <c r="B8" s="184">
        <v>562.71331191204331</v>
      </c>
      <c r="C8" s="186">
        <f>D8/B8</f>
        <v>0.33151577415804934</v>
      </c>
      <c r="D8" s="191">
        <v>186.54833922756092</v>
      </c>
      <c r="E8" s="188"/>
      <c r="F8" s="192">
        <v>1.3727750819950504</v>
      </c>
      <c r="G8" s="192"/>
      <c r="H8" s="186">
        <f>C8*F8</f>
        <v>0.45509659405246877</v>
      </c>
      <c r="I8" s="211">
        <f>H8*B8/$B$5</f>
        <v>0.26527159231889885</v>
      </c>
    </row>
    <row r="9" spans="1:10" x14ac:dyDescent="0.6">
      <c r="A9" s="100" t="s">
        <v>159</v>
      </c>
      <c r="B9" s="184">
        <v>334.79963902206913</v>
      </c>
      <c r="C9" s="186">
        <f>D9/B9</f>
        <v>0.33151577415804928</v>
      </c>
      <c r="D9" s="191">
        <v>110.9913615182367</v>
      </c>
      <c r="E9" s="188"/>
      <c r="F9" s="192">
        <v>1.3727750819950504</v>
      </c>
      <c r="G9" s="192"/>
      <c r="H9" s="186">
        <f>C9*F9</f>
        <v>0.45509659405246872</v>
      </c>
      <c r="I9" s="211">
        <f>H9*B9/$B$5</f>
        <v>0.15782962917546722</v>
      </c>
    </row>
    <row r="10" spans="1:10" x14ac:dyDescent="0.6">
      <c r="A10" s="100"/>
      <c r="B10" s="184"/>
      <c r="C10" s="186"/>
      <c r="D10" s="191"/>
      <c r="E10" s="188"/>
      <c r="F10" s="192"/>
      <c r="G10" s="192"/>
      <c r="H10" s="186"/>
      <c r="I10" s="211"/>
    </row>
    <row r="11" spans="1:10" x14ac:dyDescent="0.6">
      <c r="A11" s="91" t="s">
        <v>163</v>
      </c>
      <c r="B11" s="213"/>
      <c r="C11" s="187"/>
      <c r="D11" s="191"/>
      <c r="E11" s="188"/>
      <c r="F11" s="195"/>
      <c r="G11" s="195"/>
      <c r="H11" s="211"/>
      <c r="I11" s="211">
        <f>SUM(I5:I9)</f>
        <v>0.90047096221188005</v>
      </c>
      <c r="J11" s="25"/>
    </row>
    <row r="12" spans="1:10" x14ac:dyDescent="0.6">
      <c r="A12" s="4"/>
      <c r="B12" s="213"/>
      <c r="C12" s="187"/>
      <c r="D12" s="191"/>
      <c r="E12" s="188"/>
      <c r="F12" s="195"/>
      <c r="G12" s="195"/>
      <c r="H12" s="211"/>
      <c r="I12" s="211"/>
    </row>
    <row r="13" spans="1:10" x14ac:dyDescent="0.6">
      <c r="A13" s="5" t="s">
        <v>157</v>
      </c>
      <c r="B13" s="213"/>
      <c r="C13" s="187"/>
      <c r="D13" s="191"/>
      <c r="E13" s="188"/>
      <c r="F13" s="195"/>
      <c r="G13" s="195"/>
      <c r="H13" s="211"/>
      <c r="I13" s="211"/>
    </row>
    <row r="14" spans="1:10" x14ac:dyDescent="0.6">
      <c r="A14" s="97" t="s">
        <v>156</v>
      </c>
      <c r="B14" s="184">
        <v>9309.1912012408229</v>
      </c>
      <c r="C14" s="186">
        <f>D14/B14</f>
        <v>0.32443360460196435</v>
      </c>
      <c r="D14" s="191">
        <v>3020.2144573474507</v>
      </c>
      <c r="E14" s="188"/>
      <c r="F14" s="192">
        <v>1.3727750819950504</v>
      </c>
      <c r="G14" s="192"/>
      <c r="H14" s="186">
        <f>C14*F14</f>
        <v>0.44537436815941139</v>
      </c>
      <c r="I14" s="211">
        <f>B14/$B$14*H14</f>
        <v>0.44537436815941139</v>
      </c>
    </row>
    <row r="15" spans="1:10" x14ac:dyDescent="0.6">
      <c r="A15" s="97" t="s">
        <v>160</v>
      </c>
      <c r="B15" s="214"/>
      <c r="C15" s="211"/>
      <c r="D15" s="212"/>
      <c r="E15" s="47"/>
      <c r="F15" s="47"/>
      <c r="G15" s="47"/>
      <c r="H15" s="211"/>
      <c r="I15" s="211"/>
    </row>
    <row r="16" spans="1:10" x14ac:dyDescent="0.6">
      <c r="A16" s="99" t="s">
        <v>161</v>
      </c>
      <c r="B16" s="184">
        <v>5380.8085228871741</v>
      </c>
      <c r="C16" s="186">
        <f>D16/B16</f>
        <v>0.33151577415804945</v>
      </c>
      <c r="D16" s="191">
        <v>1783.8229030611719</v>
      </c>
      <c r="E16" s="188"/>
      <c r="F16" s="192">
        <v>1.3727750819950504</v>
      </c>
      <c r="G16" s="192"/>
      <c r="H16" s="186">
        <f>C16*F16</f>
        <v>0.45509659405246894</v>
      </c>
      <c r="I16" s="211">
        <f>B16/$B$14*H16</f>
        <v>0.26305052491435027</v>
      </c>
    </row>
    <row r="17" spans="1:9" x14ac:dyDescent="0.6">
      <c r="A17" s="99" t="s">
        <v>162</v>
      </c>
      <c r="B17" s="184">
        <v>629.62975100503468</v>
      </c>
      <c r="C17" s="186">
        <f>D17/B17</f>
        <v>0.33151577415804945</v>
      </c>
      <c r="D17" s="191">
        <v>208.73219433737398</v>
      </c>
      <c r="E17" s="188"/>
      <c r="F17" s="192">
        <v>1.3727750819950504</v>
      </c>
      <c r="G17" s="47"/>
      <c r="H17" s="186">
        <f>C17*F17</f>
        <v>0.45509659405246894</v>
      </c>
      <c r="I17" s="211">
        <f>B17/$B$14*H17</f>
        <v>3.0780585445307224E-2</v>
      </c>
    </row>
    <row r="18" spans="1:9" x14ac:dyDescent="0.6">
      <c r="A18" s="100" t="s">
        <v>159</v>
      </c>
      <c r="B18" s="184">
        <v>3298.7529273486139</v>
      </c>
      <c r="C18" s="186">
        <f>D18/B18</f>
        <v>0.33151577415804945</v>
      </c>
      <c r="D18" s="191">
        <v>1093.5886304661076</v>
      </c>
      <c r="E18" s="188"/>
      <c r="F18" s="192">
        <v>1.3727750819950504</v>
      </c>
      <c r="G18" s="47"/>
      <c r="H18" s="186">
        <f>C18*F18</f>
        <v>0.45509659405246894</v>
      </c>
      <c r="I18" s="211">
        <f>B18/$B$14*H18</f>
        <v>0.16126548369281143</v>
      </c>
    </row>
    <row r="19" spans="1:9" x14ac:dyDescent="0.6">
      <c r="A19" s="100"/>
      <c r="B19" s="185"/>
      <c r="C19" s="185"/>
      <c r="D19" s="184"/>
      <c r="E19" s="188"/>
      <c r="F19" s="192"/>
      <c r="G19" s="47"/>
      <c r="H19" s="185"/>
      <c r="I19" s="211"/>
    </row>
    <row r="20" spans="1:9" x14ac:dyDescent="0.6">
      <c r="A20" s="91" t="s">
        <v>266</v>
      </c>
      <c r="B20" s="215"/>
      <c r="C20" s="216"/>
      <c r="D20" s="214"/>
      <c r="E20" s="47"/>
      <c r="F20" s="47"/>
      <c r="G20" s="47"/>
      <c r="H20" s="47"/>
      <c r="I20" s="211">
        <f>SUM(I14:I18)</f>
        <v>0.90047096221188039</v>
      </c>
    </row>
    <row r="21" spans="1:9" hidden="1" x14ac:dyDescent="0.6"/>
    <row r="22" spans="1:9" hidden="1" x14ac:dyDescent="0.6">
      <c r="B22" s="549" t="s">
        <v>188</v>
      </c>
      <c r="C22" s="128">
        <v>0</v>
      </c>
      <c r="D22" s="128">
        <v>0</v>
      </c>
    </row>
    <row r="23" spans="1:9" hidden="1" x14ac:dyDescent="0.6">
      <c r="B23" s="549" t="s">
        <v>188</v>
      </c>
      <c r="C23" s="128">
        <v>0</v>
      </c>
      <c r="D23" s="128">
        <v>0</v>
      </c>
    </row>
    <row r="24" spans="1:9" hidden="1" x14ac:dyDescent="0.6">
      <c r="B24" s="549" t="s">
        <v>188</v>
      </c>
      <c r="C24" s="128">
        <v>0</v>
      </c>
      <c r="D24" s="128">
        <v>0</v>
      </c>
    </row>
    <row r="25" spans="1:9" hidden="1" x14ac:dyDescent="0.6">
      <c r="B25" s="549" t="s">
        <v>188</v>
      </c>
      <c r="C25" s="128">
        <v>0</v>
      </c>
      <c r="D25" s="128">
        <v>0</v>
      </c>
    </row>
    <row r="26" spans="1:9" hidden="1" x14ac:dyDescent="0.6">
      <c r="B26" s="549" t="s">
        <v>188</v>
      </c>
      <c r="C26" s="130"/>
      <c r="D26" s="128">
        <v>0</v>
      </c>
    </row>
    <row r="27" spans="1:9" hidden="1" x14ac:dyDescent="0.6">
      <c r="B27" s="549" t="s">
        <v>188</v>
      </c>
      <c r="C27" s="128">
        <v>0</v>
      </c>
      <c r="D27" s="128">
        <v>0</v>
      </c>
    </row>
    <row r="28" spans="1:9" hidden="1" x14ac:dyDescent="0.6">
      <c r="B28" s="549" t="s">
        <v>188</v>
      </c>
      <c r="C28" s="128">
        <v>0</v>
      </c>
      <c r="D28" s="128">
        <v>0</v>
      </c>
    </row>
    <row r="29" spans="1:9" hidden="1" x14ac:dyDescent="0.6">
      <c r="B29" s="549" t="s">
        <v>188</v>
      </c>
      <c r="C29" s="128">
        <v>0</v>
      </c>
      <c r="D29" s="128">
        <v>0</v>
      </c>
    </row>
    <row r="30" spans="1:9" hidden="1" x14ac:dyDescent="0.6">
      <c r="B30" s="549" t="s">
        <v>188</v>
      </c>
      <c r="C30" s="128">
        <v>0</v>
      </c>
      <c r="D30" s="128">
        <v>0</v>
      </c>
    </row>
    <row r="31" spans="1:9" hidden="1" x14ac:dyDescent="0.6">
      <c r="B31" s="549" t="s">
        <v>188</v>
      </c>
      <c r="C31" s="130"/>
      <c r="D31" s="128">
        <v>0</v>
      </c>
    </row>
    <row r="32" spans="1:9" hidden="1" x14ac:dyDescent="0.6">
      <c r="B32" s="550" t="s">
        <v>188</v>
      </c>
      <c r="C32" s="128">
        <f>C5-C14</f>
        <v>0</v>
      </c>
      <c r="D32" s="128">
        <f>B5-B7-B8-B9</f>
        <v>0</v>
      </c>
    </row>
    <row r="33" spans="1:4" hidden="1" x14ac:dyDescent="0.6">
      <c r="B33" s="550" t="s">
        <v>188</v>
      </c>
      <c r="C33" s="128">
        <f>C7-C16</f>
        <v>0</v>
      </c>
      <c r="D33" s="128">
        <f>B14-B16-B17-B18</f>
        <v>0</v>
      </c>
    </row>
    <row r="34" spans="1:4" hidden="1" x14ac:dyDescent="0.6">
      <c r="B34" s="550" t="s">
        <v>188</v>
      </c>
      <c r="C34" s="128">
        <f>C8-C17</f>
        <v>0</v>
      </c>
    </row>
    <row r="35" spans="1:4" hidden="1" x14ac:dyDescent="0.6">
      <c r="B35" s="550" t="s">
        <v>188</v>
      </c>
      <c r="C35" s="128">
        <f>C9-C18</f>
        <v>0</v>
      </c>
    </row>
    <row r="36" spans="1:4" x14ac:dyDescent="0.6">
      <c r="A36" s="141"/>
      <c r="B36" s="297"/>
      <c r="C36" s="293"/>
      <c r="D36" s="298"/>
    </row>
    <row r="37" spans="1:4" x14ac:dyDescent="0.6">
      <c r="A37" s="11" t="s">
        <v>235</v>
      </c>
    </row>
    <row r="38" spans="1:4" x14ac:dyDescent="0.6">
      <c r="A38" s="25" t="s">
        <v>814</v>
      </c>
    </row>
    <row r="39" spans="1:4" x14ac:dyDescent="0.6">
      <c r="A39" s="25" t="s">
        <v>795</v>
      </c>
    </row>
  </sheetData>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1">
    <pageSetUpPr fitToPage="1"/>
  </sheetPr>
  <dimension ref="A1:K23"/>
  <sheetViews>
    <sheetView zoomScale="70" workbookViewId="0"/>
  </sheetViews>
  <sheetFormatPr defaultColWidth="9.08984375" defaultRowHeight="13" x14ac:dyDescent="0.6"/>
  <cols>
    <col min="1" max="1" width="43.453125" style="11" customWidth="1"/>
    <col min="2" max="2" width="11.6796875" style="77" customWidth="1"/>
    <col min="3" max="3" width="11.6796875" style="62" customWidth="1"/>
    <col min="4" max="4" width="11.6796875" style="63" customWidth="1"/>
    <col min="5" max="5" width="2.54296875" style="11" customWidth="1"/>
    <col min="6" max="6" width="11.6796875" style="11" customWidth="1"/>
    <col min="7" max="7" width="2.54296875" style="11" customWidth="1"/>
    <col min="8" max="8" width="11.6796875" style="64" customWidth="1"/>
    <col min="9" max="9" width="11.6796875" style="11" customWidth="1"/>
    <col min="10" max="16384" width="9.08984375" style="11"/>
  </cols>
  <sheetData>
    <row r="1" spans="1:11" s="24" customFormat="1" ht="15.5" x14ac:dyDescent="0.7">
      <c r="A1" s="157" t="s">
        <v>715</v>
      </c>
      <c r="B1" s="93"/>
      <c r="C1" s="94"/>
      <c r="D1" s="95"/>
      <c r="H1" s="96"/>
    </row>
    <row r="2" spans="1:11" ht="15.5" x14ac:dyDescent="0.7">
      <c r="A2" s="158" t="s">
        <v>787</v>
      </c>
      <c r="B2" s="73"/>
      <c r="C2" s="59"/>
      <c r="D2" s="60"/>
      <c r="E2" s="36"/>
      <c r="F2" s="36"/>
      <c r="G2" s="36"/>
      <c r="H2" s="61"/>
    </row>
    <row r="3" spans="1:11" s="4" customFormat="1" ht="26" x14ac:dyDescent="0.6">
      <c r="A3" s="16" t="s">
        <v>155</v>
      </c>
      <c r="B3" s="168" t="s">
        <v>250</v>
      </c>
      <c r="C3" s="183" t="s">
        <v>104</v>
      </c>
      <c r="D3" s="189" t="s">
        <v>249</v>
      </c>
      <c r="E3" s="161"/>
      <c r="F3" s="160" t="s">
        <v>246</v>
      </c>
      <c r="G3" s="159"/>
      <c r="H3" s="159" t="s">
        <v>133</v>
      </c>
      <c r="I3" s="41" t="s">
        <v>158</v>
      </c>
    </row>
    <row r="4" spans="1:11" x14ac:dyDescent="0.6">
      <c r="A4" s="97" t="s">
        <v>154</v>
      </c>
      <c r="B4" s="7">
        <v>93.174775448653847</v>
      </c>
      <c r="C4" s="187">
        <f>D4/B4</f>
        <v>0.34360502288084632</v>
      </c>
      <c r="D4" s="193">
        <v>32.015320849952424</v>
      </c>
      <c r="E4" s="58"/>
      <c r="F4" s="192">
        <v>1.3836862910054186</v>
      </c>
      <c r="G4" s="192"/>
      <c r="H4" s="186">
        <f>C4*F4</f>
        <v>0.47544155968083024</v>
      </c>
      <c r="I4" s="187">
        <f>D4/SUM($D$4:$D$5)*H4</f>
        <v>0.13231543705248444</v>
      </c>
      <c r="J4" s="187"/>
      <c r="K4" s="63"/>
    </row>
    <row r="5" spans="1:11" x14ac:dyDescent="0.6">
      <c r="A5" s="98" t="s">
        <v>165</v>
      </c>
      <c r="B5" s="7">
        <v>241.62486357341527</v>
      </c>
      <c r="C5" s="187">
        <f>D5/B5</f>
        <v>0.34360502288084643</v>
      </c>
      <c r="D5" s="193">
        <v>83.023516776724748</v>
      </c>
      <c r="E5" s="58"/>
      <c r="F5" s="192">
        <v>1.3836862910054186</v>
      </c>
      <c r="G5" s="192"/>
      <c r="H5" s="186">
        <f>C5*F5</f>
        <v>0.47544155968083041</v>
      </c>
      <c r="I5" s="187">
        <f>D5/SUM($D$4:$D$5)*H5</f>
        <v>0.34312612262834585</v>
      </c>
      <c r="J5" s="187"/>
      <c r="K5" s="63"/>
    </row>
    <row r="6" spans="1:11" x14ac:dyDescent="0.6">
      <c r="A6" s="4"/>
      <c r="B6" s="217"/>
      <c r="C6" s="187"/>
      <c r="D6" s="191"/>
      <c r="E6" s="188"/>
      <c r="F6" s="195"/>
      <c r="G6" s="195"/>
      <c r="H6" s="186"/>
      <c r="I6" s="187"/>
      <c r="J6" s="187"/>
    </row>
    <row r="7" spans="1:11" x14ac:dyDescent="0.6">
      <c r="A7" s="91" t="s">
        <v>163</v>
      </c>
      <c r="B7" s="217"/>
      <c r="C7" s="187"/>
      <c r="D7" s="191"/>
      <c r="E7" s="188"/>
      <c r="F7" s="195"/>
      <c r="G7" s="195"/>
      <c r="H7" s="186"/>
      <c r="I7" s="187">
        <f>SUM(I4:I5)</f>
        <v>0.47544155968083029</v>
      </c>
      <c r="J7" s="286"/>
    </row>
    <row r="8" spans="1:11" x14ac:dyDescent="0.6">
      <c r="A8" s="4"/>
      <c r="B8" s="217"/>
      <c r="C8" s="187"/>
      <c r="D8" s="191"/>
      <c r="E8" s="188"/>
      <c r="F8" s="195"/>
      <c r="G8" s="195"/>
      <c r="H8" s="186"/>
      <c r="I8" s="187"/>
      <c r="J8" s="187"/>
    </row>
    <row r="9" spans="1:11" x14ac:dyDescent="0.6">
      <c r="A9" s="5" t="s">
        <v>157</v>
      </c>
      <c r="B9" s="215"/>
      <c r="C9" s="211"/>
      <c r="D9" s="212"/>
      <c r="E9" s="47"/>
      <c r="F9" s="47"/>
      <c r="G9" s="47"/>
      <c r="H9" s="211"/>
      <c r="I9" s="211"/>
      <c r="J9" s="211"/>
      <c r="K9" s="63"/>
    </row>
    <row r="10" spans="1:11" x14ac:dyDescent="0.6">
      <c r="A10" s="97" t="s">
        <v>154</v>
      </c>
      <c r="B10" s="7">
        <v>793.1646892240251</v>
      </c>
      <c r="C10" s="187">
        <f>D10/B10</f>
        <v>0.34360502288084638</v>
      </c>
      <c r="D10" s="193">
        <v>272.53537118910054</v>
      </c>
      <c r="E10" s="58"/>
      <c r="F10" s="192">
        <v>1.3836862910054186</v>
      </c>
      <c r="G10" s="192"/>
      <c r="H10" s="186">
        <f>C10*F10</f>
        <v>0.47544155968083035</v>
      </c>
      <c r="I10" s="187">
        <f>D10/SUM($D$10:$D$11)*H10</f>
        <v>0.23429862939404944</v>
      </c>
      <c r="J10" s="187"/>
    </row>
    <row r="11" spans="1:11" x14ac:dyDescent="0.6">
      <c r="A11" s="98" t="s">
        <v>165</v>
      </c>
      <c r="B11" s="7">
        <v>816.33451230228559</v>
      </c>
      <c r="C11" s="187">
        <f>D11/B11</f>
        <v>0.34360502288084643</v>
      </c>
      <c r="D11" s="193">
        <v>280.49663877805148</v>
      </c>
      <c r="E11" s="47"/>
      <c r="F11" s="192">
        <v>1.3836862910054186</v>
      </c>
      <c r="G11" s="47"/>
      <c r="H11" s="186">
        <f>C11*F11</f>
        <v>0.47544155968083041</v>
      </c>
      <c r="I11" s="187">
        <f>D11/SUM($D$10:$D$11)*H11</f>
        <v>0.24114293028678094</v>
      </c>
      <c r="J11" s="187"/>
    </row>
    <row r="12" spans="1:11" x14ac:dyDescent="0.6">
      <c r="B12" s="214"/>
      <c r="C12" s="218"/>
      <c r="D12" s="215"/>
      <c r="E12" s="47"/>
      <c r="F12" s="47"/>
      <c r="G12" s="47"/>
      <c r="H12" s="211"/>
      <c r="I12" s="211"/>
      <c r="J12" s="211"/>
    </row>
    <row r="13" spans="1:11" x14ac:dyDescent="0.6">
      <c r="A13" s="91" t="s">
        <v>266</v>
      </c>
      <c r="B13" s="214"/>
      <c r="C13" s="218"/>
      <c r="D13" s="7"/>
      <c r="E13" s="47"/>
      <c r="F13" s="47"/>
      <c r="G13" s="47"/>
      <c r="H13" s="211"/>
      <c r="I13" s="187">
        <f>SUM(I10:I11)</f>
        <v>0.47544155968083035</v>
      </c>
      <c r="J13" s="187"/>
    </row>
    <row r="14" spans="1:11" hidden="1" x14ac:dyDescent="0.6"/>
    <row r="15" spans="1:11" hidden="1" x14ac:dyDescent="0.6">
      <c r="B15" s="549" t="s">
        <v>188</v>
      </c>
      <c r="C15" s="128">
        <v>0</v>
      </c>
      <c r="D15" s="128">
        <v>0</v>
      </c>
      <c r="I15" s="63"/>
    </row>
    <row r="16" spans="1:11" hidden="1" x14ac:dyDescent="0.6">
      <c r="B16" s="549" t="s">
        <v>188</v>
      </c>
      <c r="C16" s="128">
        <v>0</v>
      </c>
      <c r="D16" s="128">
        <v>0</v>
      </c>
    </row>
    <row r="17" spans="1:4" hidden="1" x14ac:dyDescent="0.6">
      <c r="B17" s="549" t="s">
        <v>188</v>
      </c>
      <c r="C17" s="128">
        <v>0</v>
      </c>
      <c r="D17" s="128">
        <v>0</v>
      </c>
    </row>
    <row r="18" spans="1:4" hidden="1" x14ac:dyDescent="0.6">
      <c r="B18" s="549" t="s">
        <v>188</v>
      </c>
      <c r="C18" s="128">
        <v>0</v>
      </c>
      <c r="D18" s="128">
        <v>0</v>
      </c>
    </row>
    <row r="19" spans="1:4" hidden="1" x14ac:dyDescent="0.6">
      <c r="B19" s="549" t="s">
        <v>188</v>
      </c>
      <c r="C19" s="128">
        <f>C4-C10</f>
        <v>0</v>
      </c>
      <c r="D19" s="128">
        <f>C5-C11</f>
        <v>0</v>
      </c>
    </row>
    <row r="20" spans="1:4" x14ac:dyDescent="0.6">
      <c r="A20" s="141"/>
      <c r="B20" s="298"/>
      <c r="C20" s="290"/>
      <c r="D20" s="297"/>
    </row>
    <row r="21" spans="1:4" x14ac:dyDescent="0.6">
      <c r="A21" s="11" t="s">
        <v>235</v>
      </c>
    </row>
    <row r="22" spans="1:4" x14ac:dyDescent="0.6">
      <c r="A22" s="25" t="s">
        <v>814</v>
      </c>
    </row>
    <row r="23" spans="1:4" x14ac:dyDescent="0.6">
      <c r="A23" s="25" t="s">
        <v>795</v>
      </c>
    </row>
  </sheetData>
  <phoneticPr fontId="0" type="noConversion"/>
  <printOptions horizontalCentered="1"/>
  <pageMargins left="0.75" right="0.75" top="1" bottom="1" header="0.5" footer="0.5"/>
  <pageSetup orientation="landscape" r:id="rId1"/>
  <headerFooter alignWithMargins="0">
    <oddFooter>&amp;L&amp;F</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1">
    <pageSetUpPr fitToPage="1"/>
  </sheetPr>
  <dimension ref="A1:H22"/>
  <sheetViews>
    <sheetView zoomScale="70" workbookViewId="0"/>
  </sheetViews>
  <sheetFormatPr defaultRowHeight="13" x14ac:dyDescent="0.6"/>
  <cols>
    <col min="1" max="1" width="33.453125" bestFit="1" customWidth="1"/>
    <col min="2" max="2" width="11.6796875" customWidth="1"/>
    <col min="3" max="3" width="3.54296875" customWidth="1"/>
    <col min="4" max="4" width="11.6796875" customWidth="1"/>
    <col min="5" max="5" width="3.54296875" customWidth="1"/>
    <col min="6" max="6" width="11.6796875" customWidth="1"/>
    <col min="7" max="7" width="3.54296875" customWidth="1"/>
    <col min="8" max="8" width="9.6796875" customWidth="1"/>
  </cols>
  <sheetData>
    <row r="1" spans="1:8" ht="15.5" x14ac:dyDescent="0.7">
      <c r="A1" s="157" t="s">
        <v>716</v>
      </c>
    </row>
    <row r="2" spans="1:8" ht="15.5" x14ac:dyDescent="0.7">
      <c r="A2" s="158" t="s">
        <v>787</v>
      </c>
    </row>
    <row r="3" spans="1:8" ht="15.5" x14ac:dyDescent="0.7">
      <c r="A3" s="454"/>
    </row>
    <row r="4" spans="1:8" x14ac:dyDescent="0.6">
      <c r="A4" s="16" t="s">
        <v>512</v>
      </c>
    </row>
    <row r="5" spans="1:8" ht="26" x14ac:dyDescent="0.6">
      <c r="A5" s="18"/>
      <c r="B5" s="168" t="s">
        <v>514</v>
      </c>
      <c r="C5" s="168"/>
      <c r="D5" s="168" t="s">
        <v>515</v>
      </c>
      <c r="E5" s="168"/>
      <c r="F5" s="168" t="s">
        <v>516</v>
      </c>
      <c r="G5" s="168"/>
      <c r="H5" s="168"/>
    </row>
    <row r="6" spans="1:8" x14ac:dyDescent="0.6">
      <c r="A6" s="25" t="s">
        <v>99</v>
      </c>
      <c r="B6" s="6">
        <v>0</v>
      </c>
      <c r="C6" s="292" t="s">
        <v>236</v>
      </c>
      <c r="D6" s="6">
        <f>F6-B6</f>
        <v>1300.1834912488675</v>
      </c>
      <c r="E6" s="6"/>
      <c r="F6" s="6">
        <f>'Table 3.32-Accounting Post Due'!B4</f>
        <v>1300.1834912488675</v>
      </c>
      <c r="G6" s="292" t="s">
        <v>238</v>
      </c>
    </row>
    <row r="7" spans="1:8" x14ac:dyDescent="0.6">
      <c r="A7" s="25" t="s">
        <v>100</v>
      </c>
      <c r="B7" s="6">
        <v>0</v>
      </c>
      <c r="C7" s="292" t="s">
        <v>236</v>
      </c>
      <c r="D7" s="6">
        <f>F7-B7</f>
        <v>965.38385222679847</v>
      </c>
      <c r="E7" s="6"/>
      <c r="F7" s="6">
        <f>'Table 3.33-Delivery Post Due'!B5</f>
        <v>965.38385222679847</v>
      </c>
      <c r="G7" s="292" t="s">
        <v>239</v>
      </c>
      <c r="H7" s="234"/>
    </row>
    <row r="8" spans="1:8" x14ac:dyDescent="0.6">
      <c r="A8" s="20" t="s">
        <v>210</v>
      </c>
      <c r="B8" s="6">
        <v>0</v>
      </c>
      <c r="C8" s="292" t="s">
        <v>236</v>
      </c>
      <c r="D8" s="324">
        <f>F8-B8</f>
        <v>334.79963902206913</v>
      </c>
      <c r="E8" s="324"/>
      <c r="F8" s="324">
        <f>SUM('Table 3.34-Window Post Due'!B4:B5)</f>
        <v>334.79963902206913</v>
      </c>
      <c r="G8" s="299" t="s">
        <v>240</v>
      </c>
      <c r="H8" s="496"/>
    </row>
    <row r="11" spans="1:8" x14ac:dyDescent="0.6">
      <c r="A11" s="493" t="s">
        <v>513</v>
      </c>
    </row>
    <row r="12" spans="1:8" ht="26" x14ac:dyDescent="0.6">
      <c r="B12" s="168" t="s">
        <v>514</v>
      </c>
      <c r="C12" s="168"/>
      <c r="D12" s="168" t="s">
        <v>515</v>
      </c>
      <c r="E12" s="168"/>
      <c r="F12" s="168" t="s">
        <v>516</v>
      </c>
      <c r="G12" s="168"/>
      <c r="H12" s="168"/>
    </row>
    <row r="13" spans="1:8" x14ac:dyDescent="0.6">
      <c r="A13" s="18"/>
      <c r="B13" s="221" t="s">
        <v>511</v>
      </c>
      <c r="C13" s="221"/>
      <c r="D13" s="221" t="s">
        <v>511</v>
      </c>
      <c r="E13" s="221"/>
      <c r="F13" s="221" t="s">
        <v>511</v>
      </c>
      <c r="G13" s="221"/>
      <c r="H13" s="495"/>
    </row>
    <row r="14" spans="1:8" x14ac:dyDescent="0.6">
      <c r="A14" s="25" t="s">
        <v>99</v>
      </c>
      <c r="B14" s="6">
        <v>3901.9205049351399</v>
      </c>
      <c r="C14" s="292" t="s">
        <v>236</v>
      </c>
      <c r="D14" s="6">
        <f>F14-B14</f>
        <v>8706.0236236542969</v>
      </c>
      <c r="E14" s="6"/>
      <c r="F14" s="6">
        <f>'Table 3.32-Accounting Post Due'!B10</f>
        <v>12607.944128589437</v>
      </c>
      <c r="G14" s="292" t="s">
        <v>238</v>
      </c>
    </row>
    <row r="15" spans="1:8" x14ac:dyDescent="0.6">
      <c r="A15" s="25" t="s">
        <v>100</v>
      </c>
      <c r="B15" s="6">
        <v>3229.61107492266</v>
      </c>
      <c r="C15" s="292" t="s">
        <v>236</v>
      </c>
      <c r="D15" s="6">
        <f>F15-B15</f>
        <v>6079.5801263181629</v>
      </c>
      <c r="E15" s="6"/>
      <c r="F15" s="6">
        <f>'Table 3.33-Delivery Post Due'!B14</f>
        <v>9309.1912012408229</v>
      </c>
      <c r="G15" s="292" t="s">
        <v>239</v>
      </c>
      <c r="H15" s="234"/>
    </row>
    <row r="16" spans="1:8" x14ac:dyDescent="0.6">
      <c r="A16" s="20" t="s">
        <v>210</v>
      </c>
      <c r="B16" s="6">
        <v>370.87366251681919</v>
      </c>
      <c r="C16" s="292" t="s">
        <v>236</v>
      </c>
      <c r="D16" s="324">
        <f>F16-B16</f>
        <v>1238.6255390094914</v>
      </c>
      <c r="E16" s="324"/>
      <c r="F16" s="324">
        <f>SUM('Table 3.34-Window Post Due'!B10:B11)</f>
        <v>1609.4992015263106</v>
      </c>
      <c r="G16" s="299" t="s">
        <v>240</v>
      </c>
      <c r="H16" s="496"/>
    </row>
    <row r="17" spans="1:4" x14ac:dyDescent="0.6">
      <c r="A17" s="141"/>
      <c r="B17" s="298"/>
      <c r="C17" s="290"/>
      <c r="D17" s="297"/>
    </row>
    <row r="18" spans="1:4" x14ac:dyDescent="0.6">
      <c r="A18" s="11" t="s">
        <v>235</v>
      </c>
      <c r="B18" s="77"/>
      <c r="C18" s="62"/>
      <c r="D18" s="63"/>
    </row>
    <row r="19" spans="1:4" x14ac:dyDescent="0.6">
      <c r="A19" s="25" t="s">
        <v>815</v>
      </c>
      <c r="B19" s="77"/>
      <c r="C19" s="62"/>
      <c r="D19" s="63"/>
    </row>
    <row r="20" spans="1:4" x14ac:dyDescent="0.6">
      <c r="A20" s="25" t="s">
        <v>701</v>
      </c>
      <c r="B20" s="77"/>
      <c r="C20" s="62"/>
      <c r="D20" s="63"/>
    </row>
    <row r="21" spans="1:4" x14ac:dyDescent="0.6">
      <c r="A21" s="25" t="s">
        <v>702</v>
      </c>
    </row>
    <row r="22" spans="1:4" x14ac:dyDescent="0.6">
      <c r="A22" s="25" t="s">
        <v>703</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pageSetUpPr fitToPage="1"/>
  </sheetPr>
  <dimension ref="A1:J24"/>
  <sheetViews>
    <sheetView zoomScale="70" workbookViewId="0"/>
  </sheetViews>
  <sheetFormatPr defaultColWidth="9.08984375" defaultRowHeight="13" x14ac:dyDescent="0.6"/>
  <cols>
    <col min="1" max="1" width="39.453125" style="18" bestFit="1" customWidth="1"/>
    <col min="2" max="2" width="8.08984375" style="18" customWidth="1"/>
    <col min="3" max="3" width="2.6796875" style="18" customWidth="1"/>
    <col min="4" max="4" width="8.6796875" style="18" customWidth="1"/>
    <col min="5" max="5" width="2.6796875" style="18" customWidth="1"/>
    <col min="6" max="6" width="11.6796875" style="18" customWidth="1"/>
    <col min="7" max="7" width="2.6796875" style="18" customWidth="1"/>
    <col min="8" max="8" width="11.6796875" style="18" customWidth="1"/>
    <col min="9" max="9" width="2.6796875" style="18" customWidth="1"/>
    <col min="10" max="10" width="11.6796875" style="18" customWidth="1"/>
    <col min="11" max="16384" width="9.08984375" style="18"/>
  </cols>
  <sheetData>
    <row r="1" spans="1:10" ht="15.5" x14ac:dyDescent="0.7">
      <c r="A1" s="157" t="s">
        <v>717</v>
      </c>
    </row>
    <row r="2" spans="1:10" ht="15.5" x14ac:dyDescent="0.7">
      <c r="A2" s="158" t="s">
        <v>787</v>
      </c>
    </row>
    <row r="3" spans="1:10" ht="5.15" customHeight="1" x14ac:dyDescent="0.7">
      <c r="A3" s="454"/>
    </row>
    <row r="4" spans="1:10" x14ac:dyDescent="0.6">
      <c r="A4" s="131" t="s">
        <v>190</v>
      </c>
      <c r="B4" s="219">
        <v>804.33817548545846</v>
      </c>
      <c r="C4" s="219"/>
    </row>
    <row r="5" spans="1:10" ht="26" x14ac:dyDescent="0.6">
      <c r="A5" s="19" t="s">
        <v>254</v>
      </c>
      <c r="B5" s="220" t="s">
        <v>189</v>
      </c>
      <c r="C5" s="220"/>
      <c r="D5" s="220" t="s">
        <v>164</v>
      </c>
      <c r="E5" s="220"/>
      <c r="F5" s="183" t="s">
        <v>179</v>
      </c>
      <c r="G5" s="220"/>
      <c r="H5" s="220" t="s">
        <v>251</v>
      </c>
      <c r="I5" s="221"/>
      <c r="J5" s="222" t="s">
        <v>183</v>
      </c>
    </row>
    <row r="6" spans="1:10" x14ac:dyDescent="0.6">
      <c r="A6" s="112" t="s">
        <v>180</v>
      </c>
      <c r="B6" s="223">
        <v>30</v>
      </c>
      <c r="C6" s="299" t="s">
        <v>238</v>
      </c>
      <c r="D6" s="115">
        <v>43.318648434574413</v>
      </c>
      <c r="E6" s="299" t="s">
        <v>238</v>
      </c>
      <c r="F6" s="224">
        <f>($B$4/B6*D6)/$B$4</f>
        <v>1.4439549478191471</v>
      </c>
      <c r="G6" s="115"/>
      <c r="H6" s="225">
        <v>1.3727750819950504</v>
      </c>
      <c r="I6" s="221"/>
      <c r="J6" s="224">
        <f>H6*F6</f>
        <v>1.9822253718895884</v>
      </c>
    </row>
    <row r="7" spans="1:10" x14ac:dyDescent="0.6">
      <c r="A7" s="112" t="s">
        <v>181</v>
      </c>
      <c r="B7" s="223">
        <v>114.19779465085449</v>
      </c>
      <c r="C7" s="299" t="s">
        <v>238</v>
      </c>
      <c r="D7" s="115">
        <v>43.125599999999999</v>
      </c>
      <c r="E7" s="299" t="s">
        <v>238</v>
      </c>
      <c r="F7" s="224">
        <f>($B$4/B7*D7)/$B$4</f>
        <v>0.3776395168737815</v>
      </c>
      <c r="G7" s="115"/>
      <c r="H7" s="226">
        <v>3.9203843922420463</v>
      </c>
      <c r="I7" s="221"/>
      <c r="J7" s="224">
        <f>H7*F7</f>
        <v>1.4804920678457998</v>
      </c>
    </row>
    <row r="8" spans="1:10" x14ac:dyDescent="0.6">
      <c r="A8" s="112"/>
      <c r="B8" s="221"/>
      <c r="C8" s="221"/>
      <c r="D8" s="221"/>
      <c r="E8" s="221"/>
      <c r="F8" s="224"/>
      <c r="G8" s="147"/>
      <c r="H8" s="221"/>
      <c r="I8" s="221"/>
      <c r="J8" s="224"/>
    </row>
    <row r="9" spans="1:10" x14ac:dyDescent="0.6">
      <c r="A9" s="91" t="s">
        <v>255</v>
      </c>
      <c r="B9" s="221"/>
      <c r="C9" s="221"/>
      <c r="D9" s="115" t="s">
        <v>106</v>
      </c>
      <c r="E9" s="115"/>
      <c r="F9" s="224">
        <v>4.1504681775598996E-2</v>
      </c>
      <c r="G9" s="300" t="s">
        <v>239</v>
      </c>
      <c r="H9" s="207">
        <v>1.7516721267338493</v>
      </c>
      <c r="I9" s="221"/>
      <c r="J9" s="224">
        <f>H9*F9</f>
        <v>7.2702594195275125E-2</v>
      </c>
    </row>
    <row r="10" spans="1:10" x14ac:dyDescent="0.6">
      <c r="A10" s="110"/>
      <c r="B10" s="221"/>
      <c r="C10" s="221"/>
      <c r="D10" s="221"/>
      <c r="E10" s="221"/>
      <c r="F10" s="224"/>
      <c r="G10" s="147"/>
      <c r="H10" s="221"/>
      <c r="I10" s="221"/>
      <c r="J10" s="224"/>
    </row>
    <row r="11" spans="1:10" x14ac:dyDescent="0.6">
      <c r="A11" s="19" t="s">
        <v>253</v>
      </c>
      <c r="B11" s="221"/>
      <c r="C11" s="221"/>
      <c r="D11" s="115"/>
      <c r="E11" s="115"/>
      <c r="F11" s="224"/>
      <c r="G11" s="147"/>
      <c r="H11" s="221"/>
      <c r="I11" s="221"/>
      <c r="J11" s="224"/>
    </row>
    <row r="12" spans="1:10" x14ac:dyDescent="0.6">
      <c r="A12" s="112" t="s">
        <v>181</v>
      </c>
      <c r="B12" s="221"/>
      <c r="C12" s="221"/>
      <c r="D12" s="221"/>
      <c r="E12" s="221"/>
      <c r="F12" s="224"/>
      <c r="G12" s="115"/>
      <c r="H12" s="221"/>
      <c r="I12" s="221"/>
      <c r="J12" s="224"/>
    </row>
    <row r="13" spans="1:10" x14ac:dyDescent="0.6">
      <c r="A13" s="114" t="s">
        <v>153</v>
      </c>
      <c r="B13" s="223">
        <v>114.19779465085449</v>
      </c>
      <c r="C13" s="299" t="s">
        <v>238</v>
      </c>
      <c r="D13" s="115">
        <v>43.125599999999999</v>
      </c>
      <c r="E13" s="299" t="s">
        <v>238</v>
      </c>
      <c r="F13" s="224">
        <f>($B$4/B13*D13)/$B$4</f>
        <v>0.3776395168737815</v>
      </c>
      <c r="G13" s="115"/>
      <c r="H13" s="226">
        <v>3.9203843922420463</v>
      </c>
      <c r="I13" s="221"/>
      <c r="J13" s="224" t="s">
        <v>247</v>
      </c>
    </row>
    <row r="14" spans="1:10" x14ac:dyDescent="0.6">
      <c r="A14" s="114" t="s">
        <v>152</v>
      </c>
      <c r="B14" s="223">
        <v>167.55812153748252</v>
      </c>
      <c r="C14" s="299" t="s">
        <v>238</v>
      </c>
      <c r="D14" s="115">
        <v>43.125599999999999</v>
      </c>
      <c r="E14" s="299" t="s">
        <v>238</v>
      </c>
      <c r="F14" s="224">
        <f>($B$4/B14*D14)/$B$4</f>
        <v>0.25737696033046581</v>
      </c>
      <c r="G14" s="115"/>
      <c r="H14" s="226">
        <v>3.9203843922420463</v>
      </c>
      <c r="I14" s="221"/>
      <c r="J14" s="224">
        <f>H14*F14</f>
        <v>1.0090166182022584</v>
      </c>
    </row>
    <row r="15" spans="1:10" x14ac:dyDescent="0.6">
      <c r="A15" s="112" t="s">
        <v>182</v>
      </c>
      <c r="B15" s="223">
        <v>504.83575730706781</v>
      </c>
      <c r="C15" s="299" t="s">
        <v>238</v>
      </c>
      <c r="D15" s="115">
        <v>43.125599999999999</v>
      </c>
      <c r="E15" s="299" t="s">
        <v>238</v>
      </c>
      <c r="F15" s="224">
        <v>8.542501076002175E-2</v>
      </c>
      <c r="G15" s="115"/>
      <c r="H15" s="226">
        <v>3.9203843922420463</v>
      </c>
      <c r="I15" s="221"/>
      <c r="J15" s="224">
        <f>H15*F15</f>
        <v>0.33489887889069814</v>
      </c>
    </row>
    <row r="16" spans="1:10" x14ac:dyDescent="0.6">
      <c r="B16" s="147"/>
      <c r="C16" s="147"/>
      <c r="D16" s="115"/>
      <c r="E16" s="115"/>
      <c r="F16" s="224"/>
      <c r="G16" s="221"/>
      <c r="H16" s="221"/>
      <c r="I16" s="221"/>
      <c r="J16" s="224"/>
    </row>
    <row r="17" spans="1:10" x14ac:dyDescent="0.6">
      <c r="A17" s="91" t="s">
        <v>102</v>
      </c>
      <c r="B17" s="221"/>
      <c r="C17" s="221"/>
      <c r="D17" s="221"/>
      <c r="E17" s="221"/>
      <c r="F17" s="224">
        <f>SUM(F6:F15)</f>
        <v>2.5835406344327967</v>
      </c>
      <c r="G17" s="115"/>
      <c r="H17" s="221"/>
      <c r="I17" s="221"/>
      <c r="J17" s="224">
        <f>SUM(J6:J15)</f>
        <v>4.8793355310236199</v>
      </c>
    </row>
    <row r="18" spans="1:10" hidden="1" x14ac:dyDescent="0.6">
      <c r="B18" s="221"/>
      <c r="C18" s="221"/>
      <c r="D18" s="221"/>
      <c r="E18" s="221"/>
      <c r="F18" s="221"/>
      <c r="G18" s="221"/>
      <c r="H18" s="221"/>
      <c r="I18" s="221"/>
      <c r="J18" s="221"/>
    </row>
    <row r="19" spans="1:10" hidden="1" x14ac:dyDescent="0.6">
      <c r="B19" s="122"/>
      <c r="C19" s="122"/>
      <c r="D19" s="123" t="s">
        <v>188</v>
      </c>
      <c r="E19" s="123"/>
      <c r="F19" s="124">
        <v>0</v>
      </c>
      <c r="G19" s="113"/>
    </row>
    <row r="20" spans="1:10" x14ac:dyDescent="0.6">
      <c r="A20" s="283"/>
      <c r="B20" s="283"/>
      <c r="C20" s="283"/>
      <c r="D20" s="283"/>
      <c r="E20" s="283"/>
    </row>
    <row r="21" spans="1:10" x14ac:dyDescent="0.6">
      <c r="A21" s="18" t="s">
        <v>235</v>
      </c>
    </row>
    <row r="22" spans="1:10" x14ac:dyDescent="0.6">
      <c r="A22" s="25" t="s">
        <v>788</v>
      </c>
    </row>
    <row r="23" spans="1:10" x14ac:dyDescent="0.6">
      <c r="A23" s="25" t="s">
        <v>816</v>
      </c>
    </row>
    <row r="24" spans="1:10" x14ac:dyDescent="0.6">
      <c r="A24" s="25" t="s">
        <v>704</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3">
    <pageSetUpPr fitToPage="1"/>
  </sheetPr>
  <dimension ref="A1:J38"/>
  <sheetViews>
    <sheetView zoomScale="70" workbookViewId="0"/>
  </sheetViews>
  <sheetFormatPr defaultRowHeight="13" x14ac:dyDescent="0.6"/>
  <cols>
    <col min="1" max="1" width="45.31640625" bestFit="1" customWidth="1"/>
    <col min="2" max="2" width="15.86328125" customWidth="1"/>
    <col min="3" max="3" width="3.31640625" customWidth="1"/>
  </cols>
  <sheetData>
    <row r="1" spans="1:10" ht="15.5" x14ac:dyDescent="0.7">
      <c r="A1" s="158" t="s">
        <v>718</v>
      </c>
      <c r="B1" s="17"/>
    </row>
    <row r="2" spans="1:10" ht="15.5" x14ac:dyDescent="0.7">
      <c r="A2" s="158" t="s">
        <v>787</v>
      </c>
      <c r="B2" s="17"/>
    </row>
    <row r="3" spans="1:10" ht="5.15" customHeight="1" x14ac:dyDescent="0.6">
      <c r="A3" s="16"/>
    </row>
    <row r="4" spans="1:10" x14ac:dyDescent="0.6">
      <c r="A4" t="s">
        <v>111</v>
      </c>
      <c r="B4" s="26">
        <v>1.0360078863380962</v>
      </c>
      <c r="C4" s="125" t="s">
        <v>236</v>
      </c>
    </row>
    <row r="5" spans="1:10" x14ac:dyDescent="0.6">
      <c r="A5" t="s">
        <v>112</v>
      </c>
      <c r="B5" s="26">
        <v>8.33734004625917</v>
      </c>
      <c r="C5" s="125" t="s">
        <v>238</v>
      </c>
    </row>
    <row r="6" spans="1:10" x14ac:dyDescent="0.6">
      <c r="B6" s="14"/>
    </row>
    <row r="7" spans="1:10" x14ac:dyDescent="0.6">
      <c r="A7" s="13" t="s">
        <v>666</v>
      </c>
      <c r="B7" s="119">
        <f>'Table 3.40-Form Processing'!J4</f>
        <v>0.1092229514766638</v>
      </c>
      <c r="C7" s="12" t="s">
        <v>239</v>
      </c>
      <c r="D7" s="27"/>
      <c r="E7" s="27"/>
      <c r="F7" s="27"/>
      <c r="G7" s="27"/>
      <c r="H7" s="27"/>
      <c r="I7" s="27"/>
      <c r="J7" s="27"/>
    </row>
    <row r="8" spans="1:10" x14ac:dyDescent="0.6">
      <c r="A8" s="12" t="s">
        <v>667</v>
      </c>
      <c r="B8" s="119">
        <f>'Table 3.40-Form Processing'!J6</f>
        <v>4.4417099604126133E-2</v>
      </c>
      <c r="C8" s="12" t="s">
        <v>239</v>
      </c>
    </row>
    <row r="10" spans="1:10" x14ac:dyDescent="0.6">
      <c r="A10" t="s">
        <v>113</v>
      </c>
      <c r="B10" s="29"/>
    </row>
    <row r="11" spans="1:10" x14ac:dyDescent="0.6">
      <c r="A11" s="28" t="s">
        <v>260</v>
      </c>
      <c r="B11" s="118">
        <f>'Table 3.38-Form 3547 Dist'!I25</f>
        <v>0.21964970953971094</v>
      </c>
      <c r="C11" s="12" t="s">
        <v>240</v>
      </c>
    </row>
    <row r="12" spans="1:10" x14ac:dyDescent="0.6">
      <c r="A12" s="164" t="s">
        <v>120</v>
      </c>
      <c r="B12" s="118">
        <f>'Table 3.38-Form 3547 Dist'!I26</f>
        <v>0.69392524322287119</v>
      </c>
      <c r="C12" s="12" t="s">
        <v>240</v>
      </c>
    </row>
    <row r="13" spans="1:10" x14ac:dyDescent="0.6">
      <c r="A13" s="28" t="s">
        <v>259</v>
      </c>
      <c r="B13" s="118">
        <f>'Table 3.38-Form 3547 Dist'!I27</f>
        <v>8.6425047237417882E-2</v>
      </c>
      <c r="C13" s="12" t="s">
        <v>240</v>
      </c>
    </row>
    <row r="15" spans="1:10" x14ac:dyDescent="0.6">
      <c r="A15" s="12" t="s">
        <v>739</v>
      </c>
      <c r="B15" s="6">
        <f>'Table 3.38-Form 3547 Dist'!B28*1000</f>
        <v>59410657.350370586</v>
      </c>
      <c r="C15" s="12" t="s">
        <v>241</v>
      </c>
    </row>
    <row r="16" spans="1:10" x14ac:dyDescent="0.6">
      <c r="A16" s="12" t="s">
        <v>740</v>
      </c>
      <c r="B16" s="10">
        <f>'Table 3.38-Form 3547 Dist'!E28*1000</f>
        <v>4588032.630522728</v>
      </c>
      <c r="C16" s="12" t="s">
        <v>242</v>
      </c>
    </row>
    <row r="17" spans="1:4" x14ac:dyDescent="0.6">
      <c r="A17" s="13" t="s">
        <v>115</v>
      </c>
      <c r="B17" s="6">
        <f>SUM(B15:B16)</f>
        <v>63998689.980893314</v>
      </c>
      <c r="C17" s="12"/>
    </row>
    <row r="18" spans="1:4" x14ac:dyDescent="0.6">
      <c r="B18" s="6"/>
      <c r="C18" s="12"/>
    </row>
    <row r="19" spans="1:4" x14ac:dyDescent="0.6">
      <c r="A19" s="12" t="s">
        <v>741</v>
      </c>
      <c r="B19" s="492">
        <v>7277575.196237931</v>
      </c>
      <c r="C19" s="12" t="s">
        <v>241</v>
      </c>
      <c r="D19" s="12"/>
    </row>
    <row r="20" spans="1:4" x14ac:dyDescent="0.6">
      <c r="A20" s="12" t="s">
        <v>742</v>
      </c>
      <c r="B20" s="30">
        <v>5662850.7699431852</v>
      </c>
      <c r="C20" s="12" t="s">
        <v>242</v>
      </c>
    </row>
    <row r="21" spans="1:4" x14ac:dyDescent="0.6">
      <c r="A21" s="12" t="s">
        <v>116</v>
      </c>
      <c r="B21" s="492">
        <f>SUM(B19:B20)</f>
        <v>12940425.966181116</v>
      </c>
      <c r="C21" s="12"/>
    </row>
    <row r="22" spans="1:4" x14ac:dyDescent="0.6">
      <c r="B22" s="492"/>
      <c r="C22" s="12"/>
    </row>
    <row r="23" spans="1:4" x14ac:dyDescent="0.6">
      <c r="A23" t="s">
        <v>261</v>
      </c>
      <c r="B23" s="31">
        <f>SUM(B17,B21)</f>
        <v>76939115.947074428</v>
      </c>
    </row>
    <row r="24" spans="1:4" x14ac:dyDescent="0.6">
      <c r="B24" s="32"/>
    </row>
    <row r="25" spans="1:4" x14ac:dyDescent="0.6">
      <c r="A25" s="12" t="s">
        <v>51</v>
      </c>
      <c r="B25" s="32">
        <f>'Table 3.1-UAA Summary'!L51*1000</f>
        <v>408899755.8733471</v>
      </c>
      <c r="C25" s="12"/>
    </row>
    <row r="26" spans="1:4" x14ac:dyDescent="0.6">
      <c r="A26" s="12" t="s">
        <v>52</v>
      </c>
      <c r="B26" s="32">
        <f>'Table 3.1-UAA Summary'!L50*1000</f>
        <v>300203270.64438826</v>
      </c>
      <c r="C26" s="12"/>
    </row>
    <row r="27" spans="1:4" x14ac:dyDescent="0.6">
      <c r="B27" s="27"/>
    </row>
    <row r="28" spans="1:4" x14ac:dyDescent="0.6">
      <c r="A28" s="12" t="s">
        <v>350</v>
      </c>
      <c r="B28" s="33">
        <v>43.125599999999999</v>
      </c>
      <c r="C28" s="12" t="s">
        <v>243</v>
      </c>
    </row>
    <row r="29" spans="1:4" x14ac:dyDescent="0.6">
      <c r="A29" s="283"/>
      <c r="B29" s="283"/>
    </row>
    <row r="30" spans="1:4" x14ac:dyDescent="0.6">
      <c r="A30" s="151" t="s">
        <v>235</v>
      </c>
    </row>
    <row r="31" spans="1:4" x14ac:dyDescent="0.6">
      <c r="A31" s="125" t="s">
        <v>818</v>
      </c>
    </row>
    <row r="32" spans="1:4" x14ac:dyDescent="0.6">
      <c r="A32" s="125" t="s">
        <v>13</v>
      </c>
    </row>
    <row r="33" spans="1:1" x14ac:dyDescent="0.6">
      <c r="A33" s="12" t="s">
        <v>698</v>
      </c>
    </row>
    <row r="34" spans="1:1" x14ac:dyDescent="0.6">
      <c r="A34" s="12" t="s">
        <v>705</v>
      </c>
    </row>
    <row r="35" spans="1:1" x14ac:dyDescent="0.6">
      <c r="A35" s="25" t="s">
        <v>819</v>
      </c>
    </row>
    <row r="36" spans="1:1" x14ac:dyDescent="0.6">
      <c r="A36" s="25" t="s">
        <v>820</v>
      </c>
    </row>
    <row r="37" spans="1:1" x14ac:dyDescent="0.6">
      <c r="A37" s="25" t="s">
        <v>817</v>
      </c>
    </row>
    <row r="38" spans="1:1" x14ac:dyDescent="0.6">
      <c r="A38" s="12" t="s">
        <v>53</v>
      </c>
    </row>
  </sheetData>
  <phoneticPr fontId="0" type="noConversion"/>
  <printOptions horizontalCentered="1"/>
  <pageMargins left="0.75" right="0.75" top="1" bottom="1" header="0.5" footer="0.5"/>
  <pageSetup orientation="landscape" r:id="rId1"/>
  <headerFooter alignWithMargins="0">
    <oddFooter>&amp;L&amp;F</oddFooter>
  </headerFooter>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2">
    <pageSetUpPr fitToPage="1"/>
  </sheetPr>
  <dimension ref="A1:I164"/>
  <sheetViews>
    <sheetView zoomScale="70" workbookViewId="0"/>
  </sheetViews>
  <sheetFormatPr defaultColWidth="9.08984375" defaultRowHeight="13" x14ac:dyDescent="0.6"/>
  <cols>
    <col min="1" max="1" width="19.6796875" style="18" bestFit="1" customWidth="1"/>
    <col min="2" max="2" width="15.6796875" style="18" customWidth="1"/>
    <col min="3" max="3" width="13.08984375" style="18" customWidth="1"/>
    <col min="4" max="4" width="3.6796875" style="18" customWidth="1"/>
    <col min="5" max="5" width="15.6796875" style="18" customWidth="1"/>
    <col min="6" max="6" width="14.86328125" style="18" customWidth="1"/>
    <col min="7" max="7" width="3.6796875" style="18" customWidth="1"/>
    <col min="8" max="8" width="15.6796875" style="18" customWidth="1"/>
    <col min="9" max="9" width="14.86328125" style="18" customWidth="1"/>
    <col min="10" max="16384" width="9.08984375" style="18"/>
  </cols>
  <sheetData>
    <row r="1" spans="1:9" ht="15.75" customHeight="1" x14ac:dyDescent="0.7">
      <c r="A1" s="157" t="s">
        <v>723</v>
      </c>
    </row>
    <row r="2" spans="1:9" ht="15.75" customHeight="1" x14ac:dyDescent="0.7">
      <c r="A2" s="158" t="s">
        <v>787</v>
      </c>
    </row>
    <row r="3" spans="1:9" ht="12.75" customHeight="1" x14ac:dyDescent="0.6"/>
    <row r="4" spans="1:9" ht="12.75" customHeight="1" x14ac:dyDescent="0.6">
      <c r="B4" s="564" t="s">
        <v>724</v>
      </c>
      <c r="C4" s="564"/>
      <c r="D4" s="564"/>
      <c r="E4" s="564" t="s">
        <v>724</v>
      </c>
      <c r="F4" s="564"/>
    </row>
    <row r="5" spans="1:9" ht="12.75" customHeight="1" x14ac:dyDescent="0.6">
      <c r="B5" s="565" t="s">
        <v>725</v>
      </c>
      <c r="C5" s="564"/>
      <c r="D5" s="564"/>
      <c r="E5" s="565" t="s">
        <v>726</v>
      </c>
      <c r="F5" s="564"/>
      <c r="H5" s="566" t="s">
        <v>727</v>
      </c>
      <c r="I5" s="564"/>
    </row>
    <row r="6" spans="1:9" ht="12.75" customHeight="1" x14ac:dyDescent="0.6">
      <c r="A6" s="102" t="s">
        <v>728</v>
      </c>
      <c r="B6" s="567" t="s">
        <v>729</v>
      </c>
      <c r="C6" s="227" t="s">
        <v>172</v>
      </c>
      <c r="D6" s="227"/>
      <c r="E6" s="567" t="s">
        <v>730</v>
      </c>
      <c r="F6" s="227" t="s">
        <v>172</v>
      </c>
      <c r="H6" s="568" t="s">
        <v>103</v>
      </c>
      <c r="I6" s="227" t="s">
        <v>172</v>
      </c>
    </row>
    <row r="7" spans="1:9" ht="12.75" customHeight="1" x14ac:dyDescent="0.6">
      <c r="A7" s="28" t="s">
        <v>260</v>
      </c>
      <c r="B7" s="37">
        <v>12970.962108003656</v>
      </c>
      <c r="C7" s="569">
        <f>B7/B$10</f>
        <v>0.24843188574672215</v>
      </c>
      <c r="D7" s="569"/>
      <c r="E7" s="37">
        <v>0</v>
      </c>
      <c r="F7" s="569">
        <f>E7/E$10</f>
        <v>0</v>
      </c>
      <c r="H7" s="324">
        <f>B7+E7</f>
        <v>12970.962108003656</v>
      </c>
      <c r="I7" s="569">
        <f>H7/H$10</f>
        <v>0.23062193372100809</v>
      </c>
    </row>
    <row r="8" spans="1:9" ht="12.75" customHeight="1" x14ac:dyDescent="0.6">
      <c r="A8" s="164" t="s">
        <v>120</v>
      </c>
      <c r="B8" s="37">
        <v>36383.09984478094</v>
      </c>
      <c r="C8" s="569">
        <f>B8/B$10</f>
        <v>0.69684284238043626</v>
      </c>
      <c r="D8" s="569"/>
      <c r="E8" s="37">
        <v>3738.4664882242055</v>
      </c>
      <c r="F8" s="569">
        <f>E8/E$10</f>
        <v>0.92718521337588411</v>
      </c>
      <c r="H8" s="324">
        <f>B8+E8</f>
        <v>40121.566333005147</v>
      </c>
      <c r="I8" s="569">
        <f>H8/H$10</f>
        <v>0.7133559665496122</v>
      </c>
    </row>
    <row r="9" spans="1:9" ht="12.75" customHeight="1" x14ac:dyDescent="0.6">
      <c r="A9" s="28" t="s">
        <v>259</v>
      </c>
      <c r="B9" s="37">
        <v>2857.2798764507697</v>
      </c>
      <c r="C9" s="569">
        <f>B9/B$10</f>
        <v>5.4725271872841548E-2</v>
      </c>
      <c r="D9" s="569"/>
      <c r="E9" s="37">
        <v>293.59359458539603</v>
      </c>
      <c r="F9" s="569">
        <f>E9/E$10</f>
        <v>7.2814786624115849E-2</v>
      </c>
      <c r="H9" s="324">
        <f>B9+E9</f>
        <v>3150.8734710361659</v>
      </c>
      <c r="I9" s="569">
        <f>H9/H$10</f>
        <v>5.6022099729379653E-2</v>
      </c>
    </row>
    <row r="10" spans="1:9" ht="12.75" customHeight="1" x14ac:dyDescent="0.6">
      <c r="A10" s="5" t="s">
        <v>102</v>
      </c>
      <c r="B10" s="37">
        <f>SUM(B7:B9)</f>
        <v>52211.341829235367</v>
      </c>
      <c r="C10" s="570">
        <f>SUM(C7:C9)</f>
        <v>1</v>
      </c>
      <c r="D10" s="570"/>
      <c r="E10" s="37">
        <f>SUM(E7:E9)</f>
        <v>4032.0600828096017</v>
      </c>
      <c r="F10" s="570">
        <f>SUM(F7:F9)</f>
        <v>1</v>
      </c>
      <c r="H10" s="324">
        <f>SUM(H7:H9)</f>
        <v>56243.401912044974</v>
      </c>
      <c r="I10" s="570">
        <f>SUM(I7:I9)</f>
        <v>1</v>
      </c>
    </row>
    <row r="11" spans="1:9" ht="12.75" customHeight="1" x14ac:dyDescent="0.6"/>
    <row r="12" spans="1:9" ht="12.75" customHeight="1" x14ac:dyDescent="0.6"/>
    <row r="13" spans="1:9" ht="12.75" customHeight="1" x14ac:dyDescent="0.6">
      <c r="B13" s="564" t="s">
        <v>731</v>
      </c>
      <c r="C13" s="564"/>
      <c r="E13" s="564" t="s">
        <v>731</v>
      </c>
      <c r="F13" s="564"/>
    </row>
    <row r="14" spans="1:9" ht="12.75" customHeight="1" x14ac:dyDescent="0.6">
      <c r="B14" s="565" t="s">
        <v>732</v>
      </c>
      <c r="C14" s="564"/>
      <c r="E14" s="565" t="s">
        <v>733</v>
      </c>
      <c r="F14" s="564"/>
      <c r="H14" s="565" t="s">
        <v>734</v>
      </c>
      <c r="I14" s="564"/>
    </row>
    <row r="15" spans="1:9" ht="12.75" customHeight="1" x14ac:dyDescent="0.6">
      <c r="A15" s="102" t="s">
        <v>728</v>
      </c>
      <c r="B15" s="567" t="s">
        <v>729</v>
      </c>
      <c r="C15" s="227" t="s">
        <v>172</v>
      </c>
      <c r="E15" s="567" t="s">
        <v>730</v>
      </c>
      <c r="F15" s="227" t="s">
        <v>172</v>
      </c>
      <c r="H15" s="568" t="s">
        <v>103</v>
      </c>
      <c r="I15" s="227" t="s">
        <v>172</v>
      </c>
    </row>
    <row r="16" spans="1:9" ht="12.75" customHeight="1" x14ac:dyDescent="0.6">
      <c r="A16" s="28" t="s">
        <v>260</v>
      </c>
      <c r="B16" s="37">
        <v>1086.331557221569</v>
      </c>
      <c r="C16" s="569">
        <f>B16/B$19</f>
        <v>0.15089372788737995</v>
      </c>
      <c r="E16" s="37">
        <v>0</v>
      </c>
      <c r="F16" s="569">
        <f>E16/E$19</f>
        <v>0</v>
      </c>
      <c r="H16" s="324">
        <f>B16+E16</f>
        <v>1086.331557221569</v>
      </c>
      <c r="I16" s="569">
        <f>H16/H$19</f>
        <v>0.14007623541221828</v>
      </c>
    </row>
    <row r="17" spans="1:9" ht="12.75" customHeight="1" x14ac:dyDescent="0.6">
      <c r="A17" s="164" t="s">
        <v>120</v>
      </c>
      <c r="B17" s="37">
        <v>3931.1997142850623</v>
      </c>
      <c r="C17" s="569">
        <f>B17/B$19</f>
        <v>0.54605187156253054</v>
      </c>
      <c r="E17" s="37">
        <v>357.54046364631614</v>
      </c>
      <c r="F17" s="569">
        <f>E17/E$19</f>
        <v>0.64309014018224764</v>
      </c>
      <c r="H17" s="324">
        <f>B17+E17</f>
        <v>4288.7401779313786</v>
      </c>
      <c r="I17" s="569">
        <f>H17/H$19</f>
        <v>0.5530084943148027</v>
      </c>
    </row>
    <row r="18" spans="1:9" ht="12.75" customHeight="1" x14ac:dyDescent="0.6">
      <c r="A18" s="28" t="s">
        <v>259</v>
      </c>
      <c r="B18" s="37">
        <v>2181.7842496285903</v>
      </c>
      <c r="C18" s="569">
        <f>B18/B$19</f>
        <v>0.30305440055008959</v>
      </c>
      <c r="E18" s="37">
        <v>198.43208406681083</v>
      </c>
      <c r="F18" s="569">
        <f>E18/E$19</f>
        <v>0.35690985981775247</v>
      </c>
      <c r="H18" s="324">
        <f>B18+E18</f>
        <v>2380.2163336954009</v>
      </c>
      <c r="I18" s="569">
        <f>H18/H$19</f>
        <v>0.3069152702729791</v>
      </c>
    </row>
    <row r="19" spans="1:9" ht="12.75" customHeight="1" x14ac:dyDescent="0.6">
      <c r="A19" s="5" t="s">
        <v>102</v>
      </c>
      <c r="B19" s="37">
        <f>SUM(B16:B18)</f>
        <v>7199.3155211352214</v>
      </c>
      <c r="C19" s="570">
        <f>SUM(C16:C18)</f>
        <v>1</v>
      </c>
      <c r="E19" s="37">
        <f>SUM(E16:E18)</f>
        <v>555.97254771312691</v>
      </c>
      <c r="F19" s="570">
        <f>SUM(F16:F18)</f>
        <v>1</v>
      </c>
      <c r="H19" s="324">
        <f>SUM(H16:H18)</f>
        <v>7755.2880688483483</v>
      </c>
      <c r="I19" s="570">
        <f>SUM(I16:I18)</f>
        <v>1</v>
      </c>
    </row>
    <row r="20" spans="1:9" ht="12.75" customHeight="1" x14ac:dyDescent="0.6">
      <c r="A20" s="5"/>
      <c r="B20" s="37"/>
      <c r="C20" s="570"/>
      <c r="E20" s="37"/>
      <c r="F20" s="570"/>
      <c r="H20" s="324"/>
      <c r="I20" s="570"/>
    </row>
    <row r="21" spans="1:9" ht="12.75" customHeight="1" x14ac:dyDescent="0.6">
      <c r="A21" s="5"/>
      <c r="B21" s="37"/>
      <c r="C21" s="570"/>
      <c r="E21" s="37"/>
      <c r="F21" s="570"/>
      <c r="H21" s="324"/>
      <c r="I21" s="570"/>
    </row>
    <row r="22" spans="1:9" ht="12.75" customHeight="1" x14ac:dyDescent="0.6">
      <c r="B22" s="564" t="s">
        <v>735</v>
      </c>
      <c r="C22" s="564"/>
      <c r="E22" s="564" t="s">
        <v>735</v>
      </c>
      <c r="F22" s="564"/>
    </row>
    <row r="23" spans="1:9" ht="12.75" customHeight="1" x14ac:dyDescent="0.6">
      <c r="B23" s="565" t="s">
        <v>732</v>
      </c>
      <c r="C23" s="564"/>
      <c r="E23" s="565" t="s">
        <v>733</v>
      </c>
      <c r="F23" s="564"/>
      <c r="H23" s="565" t="s">
        <v>736</v>
      </c>
      <c r="I23" s="564"/>
    </row>
    <row r="24" spans="1:9" ht="12.75" customHeight="1" x14ac:dyDescent="0.6">
      <c r="A24" s="102" t="s">
        <v>728</v>
      </c>
      <c r="B24" s="567" t="s">
        <v>729</v>
      </c>
      <c r="C24" s="227" t="s">
        <v>172</v>
      </c>
      <c r="E24" s="567" t="s">
        <v>730</v>
      </c>
      <c r="F24" s="227" t="s">
        <v>172</v>
      </c>
      <c r="H24" s="568" t="s">
        <v>103</v>
      </c>
      <c r="I24" s="227" t="s">
        <v>172</v>
      </c>
    </row>
    <row r="25" spans="1:9" ht="12.75" customHeight="1" x14ac:dyDescent="0.6">
      <c r="A25" s="28" t="s">
        <v>260</v>
      </c>
      <c r="B25" s="37">
        <f>SUM(B7,B16)</f>
        <v>14057.293665225225</v>
      </c>
      <c r="C25" s="569">
        <f>B25/B$28</f>
        <v>0.2366123233130249</v>
      </c>
      <c r="E25" s="37">
        <f>SUM(E7,E16)</f>
        <v>0</v>
      </c>
      <c r="F25" s="569">
        <f>E25/E$28</f>
        <v>0</v>
      </c>
      <c r="H25" s="324">
        <f>B25+E25</f>
        <v>14057.293665225225</v>
      </c>
      <c r="I25" s="569">
        <f>H25/H$28</f>
        <v>0.21964970953971094</v>
      </c>
    </row>
    <row r="26" spans="1:9" ht="12.75" customHeight="1" x14ac:dyDescent="0.6">
      <c r="A26" s="164" t="s">
        <v>120</v>
      </c>
      <c r="B26" s="37">
        <f>SUM(B8,B17)</f>
        <v>40314.299559065999</v>
      </c>
      <c r="C26" s="569">
        <f>B26/B$28</f>
        <v>0.67857016496745648</v>
      </c>
      <c r="E26" s="37">
        <f>SUM(E8,E17)</f>
        <v>4096.0069518705213</v>
      </c>
      <c r="F26" s="569">
        <f>E26/E$28</f>
        <v>0.89275889727136726</v>
      </c>
      <c r="H26" s="324">
        <f>B26+E26</f>
        <v>44410.30651093652</v>
      </c>
      <c r="I26" s="569">
        <f>H26/H$28</f>
        <v>0.69392524322287119</v>
      </c>
    </row>
    <row r="27" spans="1:9" ht="12.75" customHeight="1" x14ac:dyDescent="0.6">
      <c r="A27" s="28" t="s">
        <v>259</v>
      </c>
      <c r="B27" s="37">
        <f>SUM(B9,B18)</f>
        <v>5039.06412607936</v>
      </c>
      <c r="C27" s="569">
        <f>B27/B$28</f>
        <v>8.4817511719518582E-2</v>
      </c>
      <c r="E27" s="37">
        <f>SUM(E9,E18)</f>
        <v>492.02567865220686</v>
      </c>
      <c r="F27" s="569">
        <f>E27/E$28</f>
        <v>0.10724110272863271</v>
      </c>
      <c r="H27" s="324">
        <f>B27+E27</f>
        <v>5531.0898047315668</v>
      </c>
      <c r="I27" s="569">
        <f>H27/H$28</f>
        <v>8.6425047237417882E-2</v>
      </c>
    </row>
    <row r="28" spans="1:9" ht="12.75" customHeight="1" x14ac:dyDescent="0.6">
      <c r="A28" s="5" t="s">
        <v>102</v>
      </c>
      <c r="B28" s="37">
        <f>SUM(B25:B27)</f>
        <v>59410.657350370588</v>
      </c>
      <c r="C28" s="570">
        <f>SUM(C25:C27)</f>
        <v>0.99999999999999989</v>
      </c>
      <c r="E28" s="37">
        <f>SUM(E25:E27)</f>
        <v>4588.0326305227281</v>
      </c>
      <c r="F28" s="570">
        <f>SUM(F25:F27)</f>
        <v>1</v>
      </c>
      <c r="H28" s="324">
        <f>SUM(H25:H27)</f>
        <v>63998.689980893309</v>
      </c>
      <c r="I28" s="570">
        <f>SUM(I25:I27)</f>
        <v>1</v>
      </c>
    </row>
    <row r="29" spans="1:9" ht="12.75" customHeight="1" x14ac:dyDescent="0.6">
      <c r="A29" s="141"/>
      <c r="B29" s="282"/>
    </row>
    <row r="30" spans="1:9" ht="12.75" customHeight="1" x14ac:dyDescent="0.6">
      <c r="A30" s="4" t="s">
        <v>235</v>
      </c>
      <c r="B30" s="37"/>
    </row>
    <row r="31" spans="1:9" ht="12.75" customHeight="1" x14ac:dyDescent="0.6">
      <c r="A31" s="25" t="s">
        <v>802</v>
      </c>
      <c r="B31" s="37"/>
    </row>
    <row r="32" spans="1:9" ht="12.75" customHeight="1" x14ac:dyDescent="0.6">
      <c r="A32" s="25" t="s">
        <v>821</v>
      </c>
    </row>
    <row r="33" spans="1:1" ht="12.75" customHeight="1" x14ac:dyDescent="0.6">
      <c r="A33" s="327" t="s">
        <v>737</v>
      </c>
    </row>
    <row r="34" spans="1:1" ht="12.75" customHeight="1" x14ac:dyDescent="0.6">
      <c r="A34" s="481" t="s">
        <v>738</v>
      </c>
    </row>
    <row r="35" spans="1:1" ht="12.75" customHeight="1" x14ac:dyDescent="0.6"/>
    <row r="36" spans="1:1" ht="12.75" customHeight="1" x14ac:dyDescent="0.6"/>
    <row r="37" spans="1:1" ht="12.75" customHeight="1" x14ac:dyDescent="0.6"/>
    <row r="38" spans="1:1" ht="12.75" customHeight="1" x14ac:dyDescent="0.6"/>
    <row r="39" spans="1:1" ht="12.75" customHeight="1" x14ac:dyDescent="0.6"/>
    <row r="40" spans="1:1" ht="12.75" customHeight="1" x14ac:dyDescent="0.6"/>
    <row r="41" spans="1:1" ht="12.75" customHeight="1" x14ac:dyDescent="0.6"/>
    <row r="42" spans="1:1" ht="12.75" customHeight="1" x14ac:dyDescent="0.6"/>
    <row r="43" spans="1:1" ht="12.75" customHeight="1" x14ac:dyDescent="0.6"/>
    <row r="44" spans="1:1" ht="12.75" customHeight="1" x14ac:dyDescent="0.6"/>
    <row r="45" spans="1:1" ht="12.75" customHeight="1" x14ac:dyDescent="0.6"/>
    <row r="46" spans="1:1" ht="12.75" customHeight="1" x14ac:dyDescent="0.6"/>
    <row r="47" spans="1:1" ht="12.75" customHeight="1" x14ac:dyDescent="0.6"/>
    <row r="48" spans="1:1" ht="12.75" customHeight="1" x14ac:dyDescent="0.6"/>
    <row r="49" ht="12.75" customHeight="1" x14ac:dyDescent="0.6"/>
    <row r="50" ht="12.75" customHeight="1" x14ac:dyDescent="0.6"/>
    <row r="51" ht="12.75" customHeight="1" x14ac:dyDescent="0.6"/>
    <row r="52" ht="12.75" customHeight="1" x14ac:dyDescent="0.6"/>
    <row r="53" ht="12.75" customHeight="1" x14ac:dyDescent="0.6"/>
    <row r="54" ht="12.75" customHeight="1" x14ac:dyDescent="0.6"/>
    <row r="55" ht="12.75" customHeight="1" x14ac:dyDescent="0.6"/>
    <row r="56" ht="12.75" customHeight="1" x14ac:dyDescent="0.6"/>
    <row r="57" ht="12.75" customHeight="1" x14ac:dyDescent="0.6"/>
    <row r="58" ht="12.75" customHeight="1" x14ac:dyDescent="0.6"/>
    <row r="59" ht="12.75" customHeight="1" x14ac:dyDescent="0.6"/>
    <row r="60" ht="12.75" customHeight="1" x14ac:dyDescent="0.6"/>
    <row r="61" ht="12.75" customHeight="1" x14ac:dyDescent="0.6"/>
    <row r="62" ht="12.75" customHeight="1" x14ac:dyDescent="0.6"/>
    <row r="63" ht="12.75" customHeight="1" x14ac:dyDescent="0.6"/>
    <row r="64" ht="12.75" customHeight="1" x14ac:dyDescent="0.6"/>
    <row r="65" ht="12.75" customHeight="1" x14ac:dyDescent="0.6"/>
    <row r="66" ht="12.75" customHeight="1" x14ac:dyDescent="0.6"/>
    <row r="67" ht="12.75" customHeight="1" x14ac:dyDescent="0.6"/>
    <row r="68" ht="12.75" customHeight="1" x14ac:dyDescent="0.6"/>
    <row r="69" ht="12.75" customHeight="1" x14ac:dyDescent="0.6"/>
    <row r="70" ht="12.75" customHeight="1" x14ac:dyDescent="0.6"/>
    <row r="71" ht="12.75" customHeight="1" x14ac:dyDescent="0.6"/>
    <row r="72" ht="12.75" customHeight="1" x14ac:dyDescent="0.6"/>
    <row r="73" ht="12.75" customHeight="1" x14ac:dyDescent="0.6"/>
    <row r="74" ht="12.75" customHeight="1" x14ac:dyDescent="0.6"/>
    <row r="75" ht="12.75" customHeight="1" x14ac:dyDescent="0.6"/>
    <row r="76" ht="12.75" customHeight="1" x14ac:dyDescent="0.6"/>
    <row r="77" ht="12.75" customHeight="1" x14ac:dyDescent="0.6"/>
    <row r="78" ht="12.75" customHeight="1" x14ac:dyDescent="0.6"/>
    <row r="79" ht="12.75" customHeight="1" x14ac:dyDescent="0.6"/>
    <row r="80" ht="12.75" customHeight="1" x14ac:dyDescent="0.6"/>
    <row r="81" ht="12.75" customHeight="1" x14ac:dyDescent="0.6"/>
    <row r="82" ht="12.75" customHeight="1" x14ac:dyDescent="0.6"/>
    <row r="83" ht="12.75" customHeight="1" x14ac:dyDescent="0.6"/>
    <row r="84" ht="12.75" customHeight="1" x14ac:dyDescent="0.6"/>
    <row r="85" ht="12.75" customHeight="1" x14ac:dyDescent="0.6"/>
    <row r="86" ht="12.75" customHeight="1" x14ac:dyDescent="0.6"/>
    <row r="87" ht="12.75" customHeight="1" x14ac:dyDescent="0.6"/>
    <row r="88" ht="12.75" customHeight="1" x14ac:dyDescent="0.6"/>
    <row r="89" ht="12.75" customHeight="1" x14ac:dyDescent="0.6"/>
    <row r="90" ht="12.75" customHeight="1" x14ac:dyDescent="0.6"/>
    <row r="91" ht="12.75" customHeight="1" x14ac:dyDescent="0.6"/>
    <row r="92" ht="12.75" customHeight="1" x14ac:dyDescent="0.6"/>
    <row r="93" ht="12.75" customHeight="1" x14ac:dyDescent="0.6"/>
    <row r="94" ht="12.75" customHeight="1" x14ac:dyDescent="0.6"/>
    <row r="95" ht="12.75" customHeight="1" x14ac:dyDescent="0.6"/>
    <row r="96" ht="12.75" customHeight="1" x14ac:dyDescent="0.6"/>
    <row r="97" ht="12.75" customHeight="1" x14ac:dyDescent="0.6"/>
    <row r="98" ht="12.75" customHeight="1" x14ac:dyDescent="0.6"/>
    <row r="99" ht="12.75" customHeight="1" x14ac:dyDescent="0.6"/>
    <row r="100" ht="12.75" customHeight="1" x14ac:dyDescent="0.6"/>
    <row r="101" ht="12.75" customHeight="1" x14ac:dyDescent="0.6"/>
    <row r="102" ht="12.75" customHeight="1" x14ac:dyDescent="0.6"/>
    <row r="103" ht="12.75" customHeight="1" x14ac:dyDescent="0.6"/>
    <row r="104" ht="12.75" customHeight="1" x14ac:dyDescent="0.6"/>
    <row r="105" ht="12.75" customHeight="1" x14ac:dyDescent="0.6"/>
    <row r="106" ht="12.75" customHeight="1" x14ac:dyDescent="0.6"/>
    <row r="107" ht="12.75" customHeight="1" x14ac:dyDescent="0.6"/>
    <row r="108" ht="12.75" customHeight="1" x14ac:dyDescent="0.6"/>
    <row r="109" ht="12.75" customHeight="1" x14ac:dyDescent="0.6"/>
    <row r="110" ht="12.75" customHeight="1" x14ac:dyDescent="0.6"/>
    <row r="111" ht="12.75" customHeight="1" x14ac:dyDescent="0.6"/>
    <row r="112" ht="12.75" customHeight="1" x14ac:dyDescent="0.6"/>
    <row r="113" ht="12.75" customHeight="1" x14ac:dyDescent="0.6"/>
    <row r="114" ht="12.75" customHeight="1" x14ac:dyDescent="0.6"/>
    <row r="115" ht="12.75" customHeight="1" x14ac:dyDescent="0.6"/>
    <row r="116" ht="12.75" customHeight="1" x14ac:dyDescent="0.6"/>
    <row r="117" ht="12.75" customHeight="1" x14ac:dyDescent="0.6"/>
    <row r="118" ht="12.75" customHeight="1" x14ac:dyDescent="0.6"/>
    <row r="119" ht="12.75" customHeight="1" x14ac:dyDescent="0.6"/>
    <row r="120" ht="12.75" customHeight="1" x14ac:dyDescent="0.6"/>
    <row r="121" ht="12.75" customHeight="1" x14ac:dyDescent="0.6"/>
    <row r="122" ht="12.75" customHeight="1" x14ac:dyDescent="0.6"/>
    <row r="123" ht="12.75" customHeight="1" x14ac:dyDescent="0.6"/>
    <row r="124" ht="12.75" customHeight="1" x14ac:dyDescent="0.6"/>
    <row r="125" ht="12.75" customHeight="1" x14ac:dyDescent="0.6"/>
    <row r="126" ht="12.75" customHeight="1" x14ac:dyDescent="0.6"/>
    <row r="127" ht="12.75" customHeight="1" x14ac:dyDescent="0.6"/>
    <row r="128" ht="12.75" customHeight="1" x14ac:dyDescent="0.6"/>
    <row r="129" ht="12.75" customHeight="1" x14ac:dyDescent="0.6"/>
    <row r="130" ht="12.75" customHeight="1" x14ac:dyDescent="0.6"/>
    <row r="131" ht="12.75" customHeight="1" x14ac:dyDescent="0.6"/>
    <row r="132" ht="12.75" customHeight="1" x14ac:dyDescent="0.6"/>
    <row r="133" ht="12.75" customHeight="1" x14ac:dyDescent="0.6"/>
    <row r="134" ht="12.75" customHeight="1" x14ac:dyDescent="0.6"/>
    <row r="135" ht="12.75" customHeight="1" x14ac:dyDescent="0.6"/>
    <row r="136" ht="12.75" customHeight="1" x14ac:dyDescent="0.6"/>
    <row r="137" ht="12.75" customHeight="1" x14ac:dyDescent="0.6"/>
    <row r="138" ht="12.75" customHeight="1" x14ac:dyDescent="0.6"/>
    <row r="139" ht="12.75" customHeight="1" x14ac:dyDescent="0.6"/>
    <row r="140" ht="12.75" customHeight="1" x14ac:dyDescent="0.6"/>
    <row r="141" ht="12.75" customHeight="1" x14ac:dyDescent="0.6"/>
    <row r="142" ht="12.75" customHeight="1" x14ac:dyDescent="0.6"/>
    <row r="143" ht="12.75" customHeight="1" x14ac:dyDescent="0.6"/>
    <row r="144" ht="12.75" customHeight="1" x14ac:dyDescent="0.6"/>
    <row r="145" ht="12.75" customHeight="1" x14ac:dyDescent="0.6"/>
    <row r="146" ht="12.75" customHeight="1" x14ac:dyDescent="0.6"/>
    <row r="147" ht="12.75" customHeight="1" x14ac:dyDescent="0.6"/>
    <row r="148" ht="12.75" customHeight="1" x14ac:dyDescent="0.6"/>
    <row r="149" ht="12.75" customHeight="1" x14ac:dyDescent="0.6"/>
    <row r="150" ht="12.75" customHeight="1" x14ac:dyDescent="0.6"/>
    <row r="151" ht="12.75" customHeight="1" x14ac:dyDescent="0.6"/>
    <row r="152" ht="12.75" customHeight="1" x14ac:dyDescent="0.6"/>
    <row r="153" ht="12.75" customHeight="1" x14ac:dyDescent="0.6"/>
    <row r="154" ht="12.75" customHeight="1" x14ac:dyDescent="0.6"/>
    <row r="155" ht="12.75" customHeight="1" x14ac:dyDescent="0.6"/>
    <row r="156" ht="12.75" customHeight="1" x14ac:dyDescent="0.6"/>
    <row r="157" ht="12.75" customHeight="1" x14ac:dyDescent="0.6"/>
    <row r="158" ht="12.75" customHeight="1" x14ac:dyDescent="0.6"/>
    <row r="159" ht="12.75" customHeight="1" x14ac:dyDescent="0.6"/>
    <row r="160" ht="12.75" customHeight="1" x14ac:dyDescent="0.6"/>
    <row r="161" ht="12.75" customHeight="1" x14ac:dyDescent="0.6"/>
    <row r="162" ht="12.75" customHeight="1" x14ac:dyDescent="0.6"/>
    <row r="163" ht="12.75" customHeight="1" x14ac:dyDescent="0.6"/>
    <row r="164" ht="12.75" customHeight="1" x14ac:dyDescent="0.6"/>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Q52"/>
  <sheetViews>
    <sheetView zoomScale="70" workbookViewId="0"/>
  </sheetViews>
  <sheetFormatPr defaultRowHeight="13" x14ac:dyDescent="0.6"/>
  <cols>
    <col min="1" max="1" width="50" customWidth="1"/>
    <col min="2" max="2" width="11.6796875" customWidth="1"/>
    <col min="3" max="3" width="3.453125" customWidth="1"/>
    <col min="4" max="4" width="11.6796875" customWidth="1"/>
    <col min="5" max="5" width="3.453125" customWidth="1"/>
    <col min="6" max="6" width="11.6796875" customWidth="1"/>
    <col min="7" max="7" width="3.453125" customWidth="1"/>
    <col min="8" max="8" width="11.6796875" customWidth="1"/>
    <col min="9" max="9" width="3.453125" customWidth="1"/>
    <col min="10" max="10" width="11.6796875" customWidth="1"/>
  </cols>
  <sheetData>
    <row r="1" spans="1:17" s="13" customFormat="1" ht="15.5" x14ac:dyDescent="0.7">
      <c r="A1" s="157" t="s">
        <v>523</v>
      </c>
      <c r="B1" s="19"/>
      <c r="C1" s="19"/>
      <c r="D1" s="19"/>
      <c r="E1" s="19"/>
      <c r="F1" s="19"/>
      <c r="G1" s="19"/>
      <c r="H1" s="19"/>
      <c r="I1" s="19"/>
      <c r="J1" s="19"/>
    </row>
    <row r="2" spans="1:17" s="13" customFormat="1" ht="15.5" x14ac:dyDescent="0.7">
      <c r="A2" s="158" t="s">
        <v>787</v>
      </c>
      <c r="B2" s="19"/>
      <c r="C2" s="19"/>
      <c r="D2" s="19"/>
      <c r="E2" s="19"/>
      <c r="F2" s="19"/>
      <c r="G2" s="19"/>
      <c r="H2" s="19"/>
      <c r="I2" s="19"/>
      <c r="J2" s="19"/>
    </row>
    <row r="3" spans="1:17" ht="26" x14ac:dyDescent="0.6">
      <c r="B3" s="168" t="s">
        <v>109</v>
      </c>
      <c r="C3" s="168"/>
      <c r="D3" s="169" t="s">
        <v>104</v>
      </c>
      <c r="E3" s="169"/>
      <c r="F3" s="168" t="s">
        <v>110</v>
      </c>
      <c r="G3" s="168"/>
      <c r="H3" s="170" t="s">
        <v>97</v>
      </c>
      <c r="I3" s="170"/>
      <c r="J3" s="171" t="s">
        <v>105</v>
      </c>
    </row>
    <row r="4" spans="1:17" x14ac:dyDescent="0.6">
      <c r="A4" s="333" t="s">
        <v>577</v>
      </c>
    </row>
    <row r="5" spans="1:17" x14ac:dyDescent="0.6">
      <c r="A5" s="353" t="s">
        <v>481</v>
      </c>
      <c r="B5" s="32">
        <f>SUM('Table 3.24-CIOSS Detail'!E4,'Table 3.24-CIOSS Detail'!E8)</f>
        <v>707655.96424999996</v>
      </c>
      <c r="C5" s="241" t="s">
        <v>240</v>
      </c>
      <c r="D5" s="488">
        <f>F5/B5</f>
        <v>6.1901874930672236E-2</v>
      </c>
      <c r="E5" s="27"/>
      <c r="F5" s="489">
        <f>SUM('Table 3.24-CIOSS Detail'!K4,'Table 3.24-CIOSS Detail'!K8)</f>
        <v>43805.230992947763</v>
      </c>
      <c r="G5" s="241" t="s">
        <v>240</v>
      </c>
      <c r="H5" s="358">
        <f>B5/$B$29</f>
        <v>0.95</v>
      </c>
      <c r="J5" s="551">
        <f>D5*H5</f>
        <v>5.8806781184138623E-2</v>
      </c>
      <c r="M5" s="27"/>
      <c r="N5" s="27"/>
      <c r="O5" s="27"/>
      <c r="P5" s="27"/>
      <c r="Q5" s="27"/>
    </row>
    <row r="6" spans="1:17" x14ac:dyDescent="0.6">
      <c r="A6" s="353" t="s">
        <v>95</v>
      </c>
      <c r="B6" s="32">
        <f>SUM('Table 3.28-REC Volume'!G4,'Table 3.28-REC Volume'!G8)</f>
        <v>270272.08356201986</v>
      </c>
      <c r="C6" s="12" t="s">
        <v>241</v>
      </c>
      <c r="D6" s="488">
        <f>F6/B6</f>
        <v>0</v>
      </c>
      <c r="E6" s="27"/>
      <c r="F6" s="489">
        <v>0</v>
      </c>
      <c r="H6" s="358">
        <f>B6/$B$29</f>
        <v>0.36282952784272937</v>
      </c>
      <c r="J6" s="551">
        <f>D6*H6</f>
        <v>0</v>
      </c>
    </row>
    <row r="7" spans="1:17" x14ac:dyDescent="0.6">
      <c r="A7" s="239" t="s">
        <v>499</v>
      </c>
      <c r="B7" s="32">
        <f>SUM('Table 3.28-REC Volume'!H4)</f>
        <v>347877.7729224065</v>
      </c>
      <c r="C7" s="12" t="s">
        <v>241</v>
      </c>
      <c r="D7" s="488">
        <f>F7/B7</f>
        <v>8.3489938589580245E-2</v>
      </c>
      <c r="E7" s="27"/>
      <c r="F7" s="489">
        <f>'Table 3.26-REC Detail NonACS'!K4</f>
        <v>29044.29389797166</v>
      </c>
      <c r="G7" s="12" t="s">
        <v>242</v>
      </c>
      <c r="H7" s="358">
        <f>B7/$B$29</f>
        <v>0.46701208068887717</v>
      </c>
      <c r="J7" s="551">
        <f>D7*H7</f>
        <v>3.8990809937306449E-2</v>
      </c>
    </row>
    <row r="8" spans="1:17" x14ac:dyDescent="0.6">
      <c r="A8" s="239" t="s">
        <v>676</v>
      </c>
      <c r="B8" s="32">
        <f>SUM('Table 3.28-REC Volume'!H8)</f>
        <v>57530.35242062324</v>
      </c>
      <c r="C8" s="12" t="s">
        <v>241</v>
      </c>
      <c r="D8" s="488">
        <f>F8/B8</f>
        <v>4.1744969294790109E-2</v>
      </c>
      <c r="E8" s="27"/>
      <c r="F8" s="489">
        <f>'Table 3.26-REC Detail NonACS'!K8</f>
        <v>2401.6027953173711</v>
      </c>
      <c r="G8" s="12" t="s">
        <v>242</v>
      </c>
      <c r="H8" s="358">
        <f>B8/$B$29</f>
        <v>7.72322110752168E-2</v>
      </c>
      <c r="J8" s="551">
        <f>D8*H8</f>
        <v>3.2240562799036739E-3</v>
      </c>
    </row>
    <row r="9" spans="1:17" x14ac:dyDescent="0.6">
      <c r="A9" s="239" t="s">
        <v>489</v>
      </c>
      <c r="B9" s="32">
        <v>31975.755344950416</v>
      </c>
      <c r="C9" s="241" t="s">
        <v>243</v>
      </c>
      <c r="D9" s="488">
        <f>'Table 3.21-CFS CIOSS Rejs'!I9</f>
        <v>0.28335656489661404</v>
      </c>
      <c r="E9" s="241" t="s">
        <v>244</v>
      </c>
      <c r="F9" s="489">
        <f>B9*D9</f>
        <v>9060.5401945196954</v>
      </c>
      <c r="H9" s="358">
        <f>B9/$B$29</f>
        <v>4.2926180393176687E-2</v>
      </c>
      <c r="J9" s="551">
        <f>D9*H9</f>
        <v>1.2163415020342931E-2</v>
      </c>
      <c r="K9" s="6"/>
    </row>
    <row r="10" spans="1:17" x14ac:dyDescent="0.6">
      <c r="A10" s="82" t="s">
        <v>102</v>
      </c>
      <c r="B10" s="32">
        <f>B5</f>
        <v>707655.96424999996</v>
      </c>
      <c r="C10" s="27"/>
      <c r="D10" s="488">
        <f>F10/B10</f>
        <v>0.11914217097020177</v>
      </c>
      <c r="E10" s="27"/>
      <c r="F10" s="489">
        <f>SUM(F5:F9)</f>
        <v>84311.667880756489</v>
      </c>
      <c r="H10" s="142"/>
      <c r="J10" s="22">
        <f>SUM(J5:J9)</f>
        <v>0.11318506242169167</v>
      </c>
    </row>
    <row r="11" spans="1:17" ht="5.15" customHeight="1" x14ac:dyDescent="0.6">
      <c r="A11" s="82"/>
      <c r="B11" s="32"/>
      <c r="C11" s="27"/>
      <c r="D11" s="27"/>
      <c r="E11" s="27"/>
      <c r="F11" s="489"/>
      <c r="H11" s="142"/>
    </row>
    <row r="12" spans="1:17" x14ac:dyDescent="0.6">
      <c r="A12" s="15" t="s">
        <v>578</v>
      </c>
      <c r="B12" s="27"/>
      <c r="C12" s="27"/>
      <c r="D12" s="27"/>
      <c r="E12" s="27"/>
      <c r="F12" s="489"/>
    </row>
    <row r="13" spans="1:17" x14ac:dyDescent="0.6">
      <c r="A13" s="353" t="s">
        <v>307</v>
      </c>
      <c r="B13" s="32">
        <f>'Table 3.16-Route UAA PARS'!D106</f>
        <v>37245.050750000046</v>
      </c>
      <c r="C13" s="490" t="s">
        <v>582</v>
      </c>
      <c r="D13" s="488">
        <f t="shared" ref="D13:D18" si="0">F13/B13</f>
        <v>7.221693211671075E-2</v>
      </c>
      <c r="E13" s="490"/>
      <c r="F13" s="489">
        <f>'Table 3.16-Route UAA PARS'!J106</f>
        <v>2689.7233016962</v>
      </c>
      <c r="G13" s="490" t="s">
        <v>582</v>
      </c>
      <c r="H13" s="358">
        <f t="shared" ref="H13:H19" si="1">B13/$B$29</f>
        <v>5.0000000000000058E-2</v>
      </c>
      <c r="J13" s="551">
        <f t="shared" ref="J13:J19" si="2">D13*H13</f>
        <v>3.6108466058355419E-3</v>
      </c>
    </row>
    <row r="14" spans="1:17" x14ac:dyDescent="0.6">
      <c r="A14" s="353" t="s">
        <v>495</v>
      </c>
      <c r="B14" s="32">
        <f>'Table 3.18-Nixie UAA'!D6</f>
        <v>37245.050750000046</v>
      </c>
      <c r="C14" s="490" t="s">
        <v>586</v>
      </c>
      <c r="D14" s="488">
        <f t="shared" si="0"/>
        <v>6.6276317482136717E-3</v>
      </c>
      <c r="E14" s="490"/>
      <c r="F14" s="489">
        <f>'Table 3.18-Nixie UAA'!I6</f>
        <v>246.84648081452971</v>
      </c>
      <c r="G14" s="490" t="s">
        <v>586</v>
      </c>
      <c r="H14" s="358">
        <f t="shared" si="1"/>
        <v>5.0000000000000058E-2</v>
      </c>
      <c r="J14" s="551">
        <f t="shared" si="2"/>
        <v>3.3138158741068395E-4</v>
      </c>
    </row>
    <row r="15" spans="1:17" x14ac:dyDescent="0.6">
      <c r="A15" s="353" t="s">
        <v>481</v>
      </c>
      <c r="B15" s="32">
        <f>SUM('Table 3.24-CIOSS Detail'!E19,'Table 3.24-CIOSS Detail'!E23)</f>
        <v>37245.050750000039</v>
      </c>
      <c r="C15" s="490" t="s">
        <v>240</v>
      </c>
      <c r="D15" s="488">
        <f t="shared" si="0"/>
        <v>4.6609454799070575E-2</v>
      </c>
      <c r="E15" s="490"/>
      <c r="F15" s="489">
        <f>SUM('Table 3.24-CIOSS Detail'!K19,'Table 3.24-CIOSS Detail'!K23)</f>
        <v>1735.9715094212165</v>
      </c>
      <c r="G15" s="490" t="s">
        <v>240</v>
      </c>
      <c r="H15" s="358">
        <f t="shared" si="1"/>
        <v>5.0000000000000051E-2</v>
      </c>
      <c r="J15" s="551">
        <f t="shared" si="2"/>
        <v>2.3304727399535313E-3</v>
      </c>
    </row>
    <row r="16" spans="1:17" x14ac:dyDescent="0.6">
      <c r="A16" s="353" t="s">
        <v>95</v>
      </c>
      <c r="B16" s="32">
        <f>SUM('Table 3.28-REC Volume'!G19,'Table 3.28-REC Volume'!G23)</f>
        <v>8179.2867393769247</v>
      </c>
      <c r="C16" s="12" t="s">
        <v>241</v>
      </c>
      <c r="D16" s="488">
        <f t="shared" si="0"/>
        <v>0</v>
      </c>
      <c r="E16" s="27"/>
      <c r="F16" s="489">
        <v>0</v>
      </c>
      <c r="H16" s="358">
        <f t="shared" si="1"/>
        <v>1.0980367289977346E-2</v>
      </c>
      <c r="J16" s="551">
        <f t="shared" si="2"/>
        <v>0</v>
      </c>
    </row>
    <row r="17" spans="1:11" x14ac:dyDescent="0.6">
      <c r="A17" s="239" t="s">
        <v>499</v>
      </c>
      <c r="B17" s="32">
        <f>SUM('Table 3.28-REC Volume'!H19)</f>
        <v>23497.007469320466</v>
      </c>
      <c r="C17" s="12" t="s">
        <v>241</v>
      </c>
      <c r="D17" s="488">
        <f t="shared" si="0"/>
        <v>8.3489938589580232E-2</v>
      </c>
      <c r="E17" s="490"/>
      <c r="F17" s="489">
        <f>'Table 3.26-REC Detail NonACS'!K19</f>
        <v>1961.7637106524737</v>
      </c>
      <c r="G17" s="12" t="s">
        <v>242</v>
      </c>
      <c r="H17" s="358">
        <f t="shared" si="1"/>
        <v>3.1543798432494372E-2</v>
      </c>
      <c r="J17" s="551">
        <f t="shared" si="2"/>
        <v>2.6335897940110522E-3</v>
      </c>
    </row>
    <row r="18" spans="1:11" ht="12.75" customHeight="1" x14ac:dyDescent="0.6">
      <c r="A18" s="239" t="s">
        <v>676</v>
      </c>
      <c r="B18" s="32">
        <f>SUM('Table 3.28-REC Volume'!H23)</f>
        <v>3885.8220494631523</v>
      </c>
      <c r="C18" s="12" t="s">
        <v>241</v>
      </c>
      <c r="D18" s="488">
        <f t="shared" si="0"/>
        <v>4.1744969294790116E-2</v>
      </c>
      <c r="E18" s="490"/>
      <c r="F18" s="489">
        <f>'Table 3.26-REC Detail NonACS'!K23</f>
        <v>162.2135221398577</v>
      </c>
      <c r="G18" s="12" t="s">
        <v>242</v>
      </c>
      <c r="H18" s="358">
        <f t="shared" si="1"/>
        <v>5.2165616252558764E-3</v>
      </c>
      <c r="J18" s="551">
        <f t="shared" si="2"/>
        <v>2.1776520487068698E-4</v>
      </c>
    </row>
    <row r="19" spans="1:11" x14ac:dyDescent="0.6">
      <c r="A19" s="239" t="s">
        <v>489</v>
      </c>
      <c r="B19" s="32">
        <f>'Table 3.21-CFS CIOSS Rejs'!B9-B9</f>
        <v>1682.9344918394963</v>
      </c>
      <c r="C19" s="490" t="s">
        <v>587</v>
      </c>
      <c r="D19" s="488">
        <f>'Table 3.21-CFS CIOSS Rejs'!I9</f>
        <v>0.28335656489661404</v>
      </c>
      <c r="E19" s="241" t="s">
        <v>244</v>
      </c>
      <c r="F19" s="489">
        <f>B19*D19</f>
        <v>476.87053655366839</v>
      </c>
      <c r="H19" s="358">
        <f t="shared" si="1"/>
        <v>2.2592726522724584E-3</v>
      </c>
      <c r="J19" s="551">
        <f t="shared" si="2"/>
        <v>6.4017973791278616E-4</v>
      </c>
    </row>
    <row r="20" spans="1:11" ht="12.75" customHeight="1" x14ac:dyDescent="0.6">
      <c r="A20" s="100" t="s">
        <v>102</v>
      </c>
      <c r="B20" s="492">
        <f>B13</f>
        <v>37245.050750000046</v>
      </c>
      <c r="C20" s="151"/>
      <c r="D20" s="488">
        <f>F20/B20</f>
        <v>0.19528471339988537</v>
      </c>
      <c r="E20" s="151"/>
      <c r="F20" s="489">
        <f>SUM(F13:F19)</f>
        <v>7273.3890612779451</v>
      </c>
      <c r="G20" s="18"/>
      <c r="H20" s="142"/>
      <c r="I20" s="18"/>
      <c r="J20" s="552">
        <f>SUM(J13:J19)</f>
        <v>9.7642356699942819E-3</v>
      </c>
    </row>
    <row r="21" spans="1:11" ht="5.15" customHeight="1" x14ac:dyDescent="0.6">
      <c r="A21" s="100"/>
      <c r="B21" s="324"/>
      <c r="C21" s="18"/>
      <c r="D21" s="18"/>
      <c r="E21" s="18"/>
      <c r="F21" s="489"/>
      <c r="G21" s="18"/>
      <c r="H21" s="142"/>
      <c r="I21" s="18"/>
      <c r="J21" s="18"/>
    </row>
    <row r="22" spans="1:11" ht="12.75" customHeight="1" x14ac:dyDescent="0.6">
      <c r="A22" s="15" t="s">
        <v>579</v>
      </c>
      <c r="B22" s="324"/>
      <c r="C22" s="18"/>
      <c r="D22" s="18"/>
      <c r="E22" s="18"/>
      <c r="F22" s="489"/>
      <c r="G22" s="18"/>
      <c r="H22" s="142"/>
      <c r="I22" s="18"/>
      <c r="J22" s="18"/>
    </row>
    <row r="23" spans="1:11" ht="12.75" customHeight="1" x14ac:dyDescent="0.6">
      <c r="A23" s="353" t="s">
        <v>320</v>
      </c>
      <c r="B23" s="6">
        <f>SUM(B10,B20)</f>
        <v>744901.01500000001</v>
      </c>
      <c r="D23" s="83">
        <f>'Table 3.30-UAA MP Cost'!D8</f>
        <v>0.1091578165334228</v>
      </c>
      <c r="E23" s="12" t="s">
        <v>591</v>
      </c>
      <c r="F23" s="489">
        <f>B23*D23</f>
        <v>81311.768330930427</v>
      </c>
      <c r="G23" s="18"/>
      <c r="H23" s="358">
        <f>B23/$B$29</f>
        <v>1</v>
      </c>
      <c r="J23" s="551">
        <f>D23*H23</f>
        <v>0.1091578165334228</v>
      </c>
    </row>
    <row r="24" spans="1:11" x14ac:dyDescent="0.6">
      <c r="A24" s="353" t="s">
        <v>99</v>
      </c>
      <c r="B24" s="6">
        <f>'Table 3.35-PD Vols'!B6</f>
        <v>0</v>
      </c>
      <c r="C24" s="12" t="s">
        <v>590</v>
      </c>
      <c r="D24" s="83">
        <f>'Table 3.32-Accounting Post Due'!I7</f>
        <v>2.832308689845783</v>
      </c>
      <c r="E24" s="12" t="s">
        <v>592</v>
      </c>
      <c r="F24" s="489">
        <f>B24*D24</f>
        <v>0</v>
      </c>
      <c r="G24" s="18"/>
      <c r="H24" s="358">
        <f>B24/$B$29</f>
        <v>0</v>
      </c>
      <c r="J24" s="551">
        <f>D24*H24</f>
        <v>0</v>
      </c>
    </row>
    <row r="25" spans="1:11" x14ac:dyDescent="0.6">
      <c r="A25" s="353" t="s">
        <v>100</v>
      </c>
      <c r="B25" s="6">
        <f>'Table 3.35-PD Vols'!B7</f>
        <v>0</v>
      </c>
      <c r="C25" s="12" t="s">
        <v>590</v>
      </c>
      <c r="D25" s="83">
        <f>'Table 3.33-Delivery Post Due'!I11</f>
        <v>0.90047096221188005</v>
      </c>
      <c r="E25" s="12" t="s">
        <v>593</v>
      </c>
      <c r="F25" s="489">
        <f>B25*D25</f>
        <v>0</v>
      </c>
      <c r="G25" s="18"/>
      <c r="H25" s="358">
        <f>B25/$B$29</f>
        <v>0</v>
      </c>
      <c r="J25" s="551">
        <f>D25*H25</f>
        <v>0</v>
      </c>
    </row>
    <row r="26" spans="1:11" x14ac:dyDescent="0.6">
      <c r="A26" s="497" t="s">
        <v>210</v>
      </c>
      <c r="B26" s="6">
        <f>'Table 3.35-PD Vols'!B8</f>
        <v>0</v>
      </c>
      <c r="C26" s="12" t="s">
        <v>590</v>
      </c>
      <c r="D26" s="83">
        <f>'Table 3.34-Window Post Due'!I7</f>
        <v>0.47544155968083029</v>
      </c>
      <c r="E26" s="12" t="s">
        <v>594</v>
      </c>
      <c r="F26" s="489">
        <f>B26*D26</f>
        <v>0</v>
      </c>
      <c r="G26" s="18"/>
      <c r="H26" s="358">
        <f>B26/$B$29</f>
        <v>0</v>
      </c>
      <c r="J26" s="551">
        <f>D26*H26</f>
        <v>0</v>
      </c>
    </row>
    <row r="27" spans="1:11" x14ac:dyDescent="0.6">
      <c r="A27" s="100" t="s">
        <v>102</v>
      </c>
      <c r="B27" s="324">
        <f>B23</f>
        <v>744901.01500000001</v>
      </c>
      <c r="C27" s="18"/>
      <c r="D27" s="83">
        <f>F27/B27</f>
        <v>0.1091578165334228</v>
      </c>
      <c r="E27" s="18"/>
      <c r="F27" s="489">
        <f>SUM(F23:F26)</f>
        <v>81311.768330930427</v>
      </c>
      <c r="G27" s="18"/>
      <c r="H27" s="142"/>
      <c r="I27" s="18"/>
      <c r="J27" s="552">
        <f>SUM(J23:J26)</f>
        <v>0.1091578165334228</v>
      </c>
    </row>
    <row r="28" spans="1:11" ht="5.15" customHeight="1" x14ac:dyDescent="0.6">
      <c r="A28" s="91"/>
      <c r="B28" s="324"/>
      <c r="C28" s="18"/>
      <c r="D28" s="83"/>
      <c r="E28" s="18"/>
      <c r="F28" s="489"/>
      <c r="G28" s="18"/>
      <c r="H28" s="142"/>
      <c r="I28" s="18"/>
      <c r="J28" s="18"/>
    </row>
    <row r="29" spans="1:11" x14ac:dyDescent="0.6">
      <c r="A29" s="91" t="s">
        <v>504</v>
      </c>
      <c r="B29" s="393">
        <f>SUM(B10,B20)</f>
        <v>744901.01500000001</v>
      </c>
      <c r="C29" s="18"/>
      <c r="D29" s="83"/>
      <c r="E29" s="18"/>
      <c r="F29" s="508">
        <f>SUM(F10,F20,F27)</f>
        <v>172896.82527296487</v>
      </c>
      <c r="G29" s="18"/>
      <c r="H29" s="142"/>
      <c r="I29" s="18"/>
      <c r="J29" s="553">
        <f>SUM(J10,J20,J27)</f>
        <v>0.23210711462510875</v>
      </c>
    </row>
    <row r="30" spans="1:11" hidden="1" x14ac:dyDescent="0.6">
      <c r="A30" s="91"/>
      <c r="B30" s="324"/>
      <c r="C30" s="18"/>
      <c r="D30" s="83"/>
      <c r="E30" s="18"/>
      <c r="F30" s="175"/>
      <c r="G30" s="18"/>
      <c r="H30" s="142"/>
      <c r="I30" s="18"/>
      <c r="J30" s="18"/>
    </row>
    <row r="31" spans="1:11" hidden="1" x14ac:dyDescent="0.6">
      <c r="A31" s="5"/>
      <c r="B31" s="240"/>
      <c r="F31" s="359"/>
      <c r="H31" s="6"/>
      <c r="J31" s="6"/>
    </row>
    <row r="32" spans="1:11" hidden="1" x14ac:dyDescent="0.6">
      <c r="A32" s="23" t="s">
        <v>191</v>
      </c>
      <c r="B32" s="143">
        <f>B5-SUM(B6:B9)</f>
        <v>0</v>
      </c>
      <c r="G32" s="482" t="s">
        <v>311</v>
      </c>
      <c r="H32" s="6">
        <f>SUM('Table 3.16-Route UAA PARS'!J106)</f>
        <v>2689.7233016962</v>
      </c>
      <c r="J32" s="6">
        <f>SUM(F13)</f>
        <v>2689.7233016962</v>
      </c>
      <c r="K32" s="143">
        <f t="shared" ref="K32:K39" si="3">H32-J32</f>
        <v>0</v>
      </c>
    </row>
    <row r="33" spans="1:11" hidden="1" x14ac:dyDescent="0.6">
      <c r="A33" s="5"/>
      <c r="B33" s="143">
        <f>B15-SUM(B16:B19)</f>
        <v>0</v>
      </c>
      <c r="G33" s="46" t="s">
        <v>312</v>
      </c>
      <c r="H33" s="6">
        <f>SUM('Table 3.18-Nixie UAA'!I6)</f>
        <v>246.84648081452971</v>
      </c>
      <c r="J33" s="6">
        <f>SUM(F14)</f>
        <v>246.84648081452971</v>
      </c>
      <c r="K33" s="143">
        <f t="shared" si="3"/>
        <v>0</v>
      </c>
    </row>
    <row r="34" spans="1:11" hidden="1" x14ac:dyDescent="0.6">
      <c r="A34" s="5"/>
      <c r="B34" s="143">
        <f>B29-SUM('Table 3.23-CIOSS Summary'!C4,'Table 3.23-CIOSS Summary'!C8,'Table 3.23-CIOSS Summary'!C11)</f>
        <v>0</v>
      </c>
      <c r="G34" s="46" t="s">
        <v>313</v>
      </c>
      <c r="H34" s="6">
        <f>SUM('Table 3.21-CFS CIOSS Rejs'!H9)</f>
        <v>9537.4107310733634</v>
      </c>
      <c r="J34" s="6">
        <f>SUM(F9,F19)</f>
        <v>9537.4107310733634</v>
      </c>
      <c r="K34" s="143">
        <f t="shared" si="3"/>
        <v>0</v>
      </c>
    </row>
    <row r="35" spans="1:11" hidden="1" x14ac:dyDescent="0.6">
      <c r="A35" s="5"/>
      <c r="B35" s="240"/>
      <c r="G35" s="483" t="s">
        <v>502</v>
      </c>
      <c r="H35" s="6">
        <f>SUM('Table 3.23-CIOSS Summary'!I4,'Table 3.23-CIOSS Summary'!I8,'Table 3.23-CIOSS Summary'!I11)</f>
        <v>45541.202502368978</v>
      </c>
      <c r="J35" s="6">
        <f>SUM(F5,F15)</f>
        <v>45541.202502368978</v>
      </c>
      <c r="K35" s="143">
        <f t="shared" si="3"/>
        <v>0</v>
      </c>
    </row>
    <row r="36" spans="1:11" hidden="1" x14ac:dyDescent="0.6">
      <c r="A36" s="5"/>
      <c r="B36" s="240"/>
      <c r="G36" s="483" t="s">
        <v>503</v>
      </c>
      <c r="H36" s="6">
        <f>'Table 3.25-REC Summary'!K4+'Table 3.25-REC Summary'!K8</f>
        <v>33569.87392608136</v>
      </c>
      <c r="J36" s="6">
        <f>SUM(F7:F8,F17:F18)</f>
        <v>33569.87392608136</v>
      </c>
      <c r="K36" s="143">
        <f t="shared" si="3"/>
        <v>0</v>
      </c>
    </row>
    <row r="37" spans="1:11" hidden="1" x14ac:dyDescent="0.6">
      <c r="A37" s="5"/>
      <c r="B37" s="240"/>
      <c r="G37" s="67" t="s">
        <v>518</v>
      </c>
      <c r="H37" s="32">
        <f>'Table 3.30-UAA MP Cost'!F8</f>
        <v>81311.768330930412</v>
      </c>
      <c r="J37" s="6">
        <f>F23</f>
        <v>81311.768330930427</v>
      </c>
      <c r="K37" s="143">
        <f t="shared" si="3"/>
        <v>0</v>
      </c>
    </row>
    <row r="38" spans="1:11" hidden="1" x14ac:dyDescent="0.6">
      <c r="A38" s="5"/>
      <c r="G38" s="67" t="s">
        <v>315</v>
      </c>
      <c r="H38" s="32">
        <f>SUM(F24:F26)</f>
        <v>0</v>
      </c>
      <c r="I38" s="27"/>
      <c r="J38" s="32">
        <f>SUM(F24:F26)</f>
        <v>0</v>
      </c>
      <c r="K38" s="143">
        <f t="shared" si="3"/>
        <v>0</v>
      </c>
    </row>
    <row r="39" spans="1:11" hidden="1" x14ac:dyDescent="0.6">
      <c r="A39" s="5"/>
      <c r="B39" s="240"/>
      <c r="G39" s="46" t="s">
        <v>314</v>
      </c>
      <c r="H39" s="6">
        <f>SUM(H32:H38)</f>
        <v>172896.82527296484</v>
      </c>
      <c r="J39" s="6">
        <f>SUM(J32:J38)</f>
        <v>172896.82527296484</v>
      </c>
      <c r="K39" s="143">
        <f t="shared" si="3"/>
        <v>0</v>
      </c>
    </row>
    <row r="40" spans="1:11" x14ac:dyDescent="0.6">
      <c r="A40" s="283"/>
      <c r="B40" s="283"/>
      <c r="C40" s="283"/>
      <c r="D40" s="283"/>
      <c r="E40" s="283"/>
      <c r="F40" s="283"/>
      <c r="H40" s="240"/>
    </row>
    <row r="41" spans="1:11" x14ac:dyDescent="0.6">
      <c r="A41" s="284" t="s">
        <v>235</v>
      </c>
    </row>
    <row r="42" spans="1:11" x14ac:dyDescent="0.6">
      <c r="A42" s="241" t="s">
        <v>65</v>
      </c>
      <c r="D42" s="12"/>
      <c r="E42" s="241" t="s">
        <v>679</v>
      </c>
    </row>
    <row r="43" spans="1:11" x14ac:dyDescent="0.6">
      <c r="A43" s="241" t="s">
        <v>580</v>
      </c>
      <c r="D43" s="12"/>
      <c r="E43" s="241" t="s">
        <v>680</v>
      </c>
      <c r="F43" s="6"/>
      <c r="H43" s="234"/>
      <c r="J43" s="6"/>
    </row>
    <row r="44" spans="1:11" x14ac:dyDescent="0.6">
      <c r="A44" s="241" t="s">
        <v>581</v>
      </c>
      <c r="D44" s="12"/>
      <c r="E44" s="241" t="s">
        <v>681</v>
      </c>
      <c r="F44" s="6"/>
      <c r="H44" s="234"/>
      <c r="J44" s="6"/>
    </row>
    <row r="45" spans="1:11" x14ac:dyDescent="0.6">
      <c r="A45" s="241" t="s">
        <v>583</v>
      </c>
      <c r="E45" s="241" t="s">
        <v>682</v>
      </c>
      <c r="J45" s="6"/>
    </row>
    <row r="46" spans="1:11" x14ac:dyDescent="0.6">
      <c r="A46" s="241" t="s">
        <v>678</v>
      </c>
      <c r="E46" s="241" t="s">
        <v>683</v>
      </c>
      <c r="F46" s="6"/>
    </row>
    <row r="47" spans="1:11" x14ac:dyDescent="0.6">
      <c r="A47" s="241" t="s">
        <v>584</v>
      </c>
      <c r="E47" s="241" t="s">
        <v>43</v>
      </c>
      <c r="F47" s="6"/>
    </row>
    <row r="48" spans="1:11" x14ac:dyDescent="0.6">
      <c r="A48" s="241" t="s">
        <v>615</v>
      </c>
    </row>
    <row r="49" spans="1:1" x14ac:dyDescent="0.6">
      <c r="A49" s="241" t="s">
        <v>585</v>
      </c>
    </row>
    <row r="50" spans="1:1" x14ac:dyDescent="0.6">
      <c r="A50" s="241" t="s">
        <v>588</v>
      </c>
    </row>
    <row r="51" spans="1:1" x14ac:dyDescent="0.6">
      <c r="A51" s="241" t="s">
        <v>589</v>
      </c>
    </row>
    <row r="52" spans="1:1" x14ac:dyDescent="0.6">
      <c r="A52" s="241" t="s">
        <v>616</v>
      </c>
    </row>
  </sheetData>
  <phoneticPr fontId="5" type="noConversion"/>
  <printOptions horizontalCentered="1"/>
  <pageMargins left="0.75" right="0.75" top="1" bottom="1" header="0.5" footer="0.5"/>
  <pageSetup scale="90" orientation="landscape" r:id="rId1"/>
  <headerFooter alignWithMargins="0">
    <oddFooter>&amp;L&amp;F</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9">
    <pageSetUpPr fitToPage="1"/>
  </sheetPr>
  <dimension ref="A1:C14"/>
  <sheetViews>
    <sheetView zoomScale="70" workbookViewId="0"/>
  </sheetViews>
  <sheetFormatPr defaultColWidth="9.08984375" defaultRowHeight="13" x14ac:dyDescent="0.6"/>
  <cols>
    <col min="1" max="1" width="13.54296875" style="18" customWidth="1"/>
    <col min="2" max="3" width="11.6796875" style="18" customWidth="1"/>
    <col min="4" max="16384" width="9.08984375" style="18"/>
  </cols>
  <sheetData>
    <row r="1" spans="1:3" ht="15.75" customHeight="1" x14ac:dyDescent="0.7">
      <c r="A1" s="157" t="s">
        <v>765</v>
      </c>
    </row>
    <row r="2" spans="1:3" ht="15.75" customHeight="1" x14ac:dyDescent="0.7">
      <c r="A2" s="158" t="s">
        <v>787</v>
      </c>
    </row>
    <row r="3" spans="1:3" ht="5.15" customHeight="1" x14ac:dyDescent="0.7">
      <c r="A3" s="307"/>
    </row>
    <row r="4" spans="1:3" ht="26" x14ac:dyDescent="0.6">
      <c r="A4" s="431" t="s">
        <v>357</v>
      </c>
      <c r="B4" s="168" t="s">
        <v>250</v>
      </c>
      <c r="C4" s="227" t="s">
        <v>172</v>
      </c>
    </row>
    <row r="5" spans="1:3" x14ac:dyDescent="0.6">
      <c r="A5" s="151" t="s">
        <v>319</v>
      </c>
      <c r="B5" s="44">
        <f>'Table 3.37-Notice Inputs'!B19/1000</f>
        <v>7277.5751962379309</v>
      </c>
      <c r="C5" s="79">
        <f>B5/B7</f>
        <v>0.56239069836320355</v>
      </c>
    </row>
    <row r="6" spans="1:3" x14ac:dyDescent="0.6">
      <c r="A6" s="151" t="s">
        <v>318</v>
      </c>
      <c r="B6" s="44">
        <f>'Table 3.37-Notice Inputs'!B20/1000</f>
        <v>5662.8507699431848</v>
      </c>
      <c r="C6" s="80">
        <f>B6/B7</f>
        <v>0.43760930163679645</v>
      </c>
    </row>
    <row r="7" spans="1:3" x14ac:dyDescent="0.6">
      <c r="A7" s="151" t="s">
        <v>102</v>
      </c>
      <c r="B7" s="37">
        <f>SUM(B5:B6)</f>
        <v>12940.425966181116</v>
      </c>
      <c r="C7" s="599">
        <f>SUM(C5:C6)</f>
        <v>1</v>
      </c>
    </row>
    <row r="8" spans="1:3" x14ac:dyDescent="0.6">
      <c r="A8" s="141"/>
      <c r="B8" s="282"/>
      <c r="C8" s="456"/>
    </row>
    <row r="9" spans="1:3" x14ac:dyDescent="0.6">
      <c r="A9" s="66" t="s">
        <v>235</v>
      </c>
      <c r="B9" s="37"/>
      <c r="C9" s="109"/>
    </row>
    <row r="10" spans="1:3" x14ac:dyDescent="0.6">
      <c r="A10" s="125" t="s">
        <v>775</v>
      </c>
      <c r="B10" s="37"/>
      <c r="C10" s="109"/>
    </row>
    <row r="11" spans="1:3" x14ac:dyDescent="0.6">
      <c r="A11" s="4"/>
      <c r="B11" s="37"/>
      <c r="C11" s="109"/>
    </row>
    <row r="12" spans="1:3" x14ac:dyDescent="0.6">
      <c r="A12" s="4"/>
      <c r="B12" s="37"/>
      <c r="C12" s="109"/>
    </row>
    <row r="13" spans="1:3" x14ac:dyDescent="0.6">
      <c r="A13" s="4"/>
      <c r="B13" s="37"/>
      <c r="C13" s="109"/>
    </row>
    <row r="14" spans="1:3" x14ac:dyDescent="0.6">
      <c r="A14" s="4"/>
      <c r="B14" s="37"/>
      <c r="C14" s="109"/>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7">
    <pageSetUpPr fitToPage="1"/>
  </sheetPr>
  <dimension ref="A1:O18"/>
  <sheetViews>
    <sheetView zoomScale="70" workbookViewId="0"/>
  </sheetViews>
  <sheetFormatPr defaultColWidth="7.86328125" defaultRowHeight="13" x14ac:dyDescent="0.6"/>
  <cols>
    <col min="1" max="1" width="28.08984375" style="4" customWidth="1"/>
    <col min="2" max="2" width="26.31640625" style="4" customWidth="1"/>
    <col min="3" max="3" width="2.6796875" style="4" customWidth="1"/>
    <col min="4" max="4" width="12.6796875" style="4" customWidth="1"/>
    <col min="5" max="5" width="2.6796875" style="4" customWidth="1"/>
    <col min="6" max="6" width="25.86328125" style="38" customWidth="1"/>
    <col min="7" max="7" width="2.6796875" style="4" customWidth="1"/>
    <col min="8" max="8" width="12.6796875" style="4" customWidth="1"/>
    <col min="9" max="9" width="2.6796875" style="4" customWidth="1"/>
    <col min="10" max="10" width="11.31640625" style="4" customWidth="1"/>
    <col min="11" max="13" width="7.86328125" style="4" customWidth="1"/>
    <col min="14" max="14" width="9.453125" style="4" customWidth="1"/>
    <col min="15" max="15" width="9.31640625" style="4" customWidth="1"/>
    <col min="16" max="16384" width="7.86328125" style="4"/>
  </cols>
  <sheetData>
    <row r="1" spans="1:15" ht="15.5" x14ac:dyDescent="0.7">
      <c r="A1" s="157" t="s">
        <v>719</v>
      </c>
      <c r="B1" s="1"/>
      <c r="C1" s="1"/>
      <c r="D1" s="1"/>
      <c r="E1" s="1"/>
      <c r="F1" s="1"/>
    </row>
    <row r="2" spans="1:15" ht="15.5" x14ac:dyDescent="0.7">
      <c r="A2" s="158" t="s">
        <v>787</v>
      </c>
      <c r="B2" s="1"/>
      <c r="C2" s="1"/>
      <c r="D2" s="1"/>
      <c r="E2" s="1"/>
      <c r="F2" s="1"/>
    </row>
    <row r="3" spans="1:15" ht="26" x14ac:dyDescent="0.6">
      <c r="B3" s="9" t="s">
        <v>745</v>
      </c>
      <c r="C3" s="9"/>
      <c r="D3" s="9" t="s">
        <v>457</v>
      </c>
      <c r="E3" s="9"/>
      <c r="F3" s="9" t="s">
        <v>458</v>
      </c>
      <c r="H3" s="301" t="s">
        <v>256</v>
      </c>
      <c r="I3" s="102"/>
      <c r="J3" s="3" t="s">
        <v>134</v>
      </c>
    </row>
    <row r="4" spans="1:15" x14ac:dyDescent="0.6">
      <c r="A4" s="91" t="s">
        <v>743</v>
      </c>
      <c r="B4" s="245">
        <f>SUM('Table 3.29-UAA MP Units'!B22:C22)/SUM('Table 3.29-UAA MP Units'!B27:C27)+'Table 3.29-UAA MP Units'!B12</f>
        <v>6.4598755310410844E-2</v>
      </c>
      <c r="C4" s="571" t="s">
        <v>236</v>
      </c>
      <c r="D4" s="235">
        <f>'Table 3.37-Notice Inputs'!B4</f>
        <v>1.0360078863380962</v>
      </c>
      <c r="E4" s="303" t="s">
        <v>239</v>
      </c>
      <c r="F4" s="103">
        <f>B4/D4</f>
        <v>6.2353536263843989E-2</v>
      </c>
      <c r="H4" s="80">
        <v>1.7516721267338493</v>
      </c>
      <c r="I4" s="80"/>
      <c r="J4" s="103">
        <f>F4*H4</f>
        <v>0.1092229514766638</v>
      </c>
      <c r="M4" s="37"/>
      <c r="N4" s="595"/>
      <c r="O4" s="38"/>
    </row>
    <row r="5" spans="1:15" x14ac:dyDescent="0.6">
      <c r="A5" s="91" t="s">
        <v>744</v>
      </c>
      <c r="B5" s="245">
        <v>4.476875766794422E-2</v>
      </c>
      <c r="C5" s="571" t="s">
        <v>240</v>
      </c>
      <c r="D5" s="235">
        <v>1</v>
      </c>
      <c r="E5" s="303"/>
      <c r="F5" s="103">
        <f>B5/D5</f>
        <v>4.476875766794422E-2</v>
      </c>
      <c r="H5" s="80">
        <v>1.7516721267338493</v>
      </c>
      <c r="I5" s="80"/>
      <c r="J5" s="103">
        <f>F5*H5</f>
        <v>7.8420184955440175E-2</v>
      </c>
      <c r="M5" s="37"/>
      <c r="N5" s="595"/>
      <c r="O5" s="595"/>
    </row>
    <row r="6" spans="1:15" x14ac:dyDescent="0.6">
      <c r="A6" s="5" t="s">
        <v>126</v>
      </c>
      <c r="B6" s="245">
        <f>'Table 3.29-UAA MP Units'!D17+'Table 3.29-UAA MP Units'!B12</f>
        <v>0.211409691126763</v>
      </c>
      <c r="C6" s="571" t="s">
        <v>236</v>
      </c>
      <c r="D6" s="235">
        <f>'Table 3.37-Notice Inputs'!B5</f>
        <v>8.33734004625917</v>
      </c>
      <c r="E6" s="303" t="s">
        <v>239</v>
      </c>
      <c r="F6" s="103">
        <f>B6/D6</f>
        <v>2.5356971162717432E-2</v>
      </c>
      <c r="H6" s="80">
        <v>1.7516721267338493</v>
      </c>
      <c r="I6" s="80"/>
      <c r="J6" s="103">
        <f>F6*H6</f>
        <v>4.4417099604126133E-2</v>
      </c>
      <c r="M6" s="37"/>
      <c r="N6" s="37"/>
      <c r="O6" s="596"/>
    </row>
    <row r="7" spans="1:15" x14ac:dyDescent="0.6">
      <c r="A7" s="91" t="s">
        <v>268</v>
      </c>
      <c r="B7" s="245">
        <f>SUM('Table 3.29-UAA MP Units'!B22:C22)/SUM('Table 3.29-UAA MP Units'!B27:C27)+'Table 3.29-UAA MP Units'!B12</f>
        <v>6.4598755310410844E-2</v>
      </c>
      <c r="C7" s="571" t="s">
        <v>236</v>
      </c>
      <c r="D7" s="235">
        <v>1</v>
      </c>
      <c r="E7" s="303"/>
      <c r="F7" s="103">
        <f>B7/D7</f>
        <v>6.4598755310410844E-2</v>
      </c>
      <c r="H7" s="80">
        <v>1.7516721267338493</v>
      </c>
      <c r="I7" s="80"/>
      <c r="J7" s="103">
        <f>F7*H7</f>
        <v>0.1131558390989469</v>
      </c>
    </row>
    <row r="8" spans="1:15" x14ac:dyDescent="0.6">
      <c r="A8" s="302"/>
      <c r="B8" s="302"/>
      <c r="C8" s="302"/>
      <c r="D8" s="302"/>
      <c r="E8" s="66"/>
      <c r="F8" s="243"/>
      <c r="G8" s="244"/>
      <c r="H8" s="66"/>
      <c r="I8" s="66"/>
      <c r="J8" s="66"/>
    </row>
    <row r="9" spans="1:15" x14ac:dyDescent="0.6">
      <c r="A9" s="66" t="s">
        <v>235</v>
      </c>
      <c r="B9" s="66"/>
      <c r="C9" s="66"/>
      <c r="D9" s="66"/>
      <c r="E9" s="66"/>
      <c r="F9" s="243"/>
      <c r="G9" s="66"/>
      <c r="H9" s="66"/>
      <c r="I9" s="66"/>
      <c r="J9" s="66"/>
    </row>
    <row r="10" spans="1:15" x14ac:dyDescent="0.6">
      <c r="A10" s="125" t="s">
        <v>722</v>
      </c>
      <c r="B10" s="245"/>
      <c r="C10" s="245"/>
      <c r="D10" s="66"/>
      <c r="E10" s="66"/>
      <c r="F10" s="243"/>
      <c r="G10" s="244"/>
      <c r="H10" s="66"/>
      <c r="I10" s="66"/>
      <c r="J10" s="66"/>
    </row>
    <row r="11" spans="1:15" x14ac:dyDescent="0.6">
      <c r="A11" s="25" t="s">
        <v>795</v>
      </c>
      <c r="B11" s="66"/>
      <c r="C11" s="66"/>
      <c r="D11" s="66"/>
      <c r="E11" s="66"/>
      <c r="F11" s="243"/>
      <c r="G11" s="66"/>
      <c r="H11" s="66"/>
      <c r="I11" s="66"/>
      <c r="J11" s="66"/>
    </row>
    <row r="12" spans="1:15" x14ac:dyDescent="0.6">
      <c r="A12" s="125" t="s">
        <v>706</v>
      </c>
      <c r="B12" s="66"/>
      <c r="C12" s="66"/>
      <c r="D12" s="66"/>
      <c r="E12" s="66"/>
      <c r="F12" s="243"/>
      <c r="G12" s="66"/>
      <c r="H12" s="66"/>
      <c r="I12" s="66"/>
      <c r="J12" s="66"/>
    </row>
    <row r="13" spans="1:15" x14ac:dyDescent="0.6">
      <c r="A13" s="125" t="s">
        <v>822</v>
      </c>
      <c r="B13" s="66"/>
      <c r="C13" s="66"/>
      <c r="D13" s="66"/>
      <c r="E13" s="66"/>
      <c r="F13" s="243"/>
      <c r="G13" s="66"/>
      <c r="H13" s="66"/>
      <c r="I13" s="66"/>
      <c r="J13" s="66"/>
    </row>
    <row r="14" spans="1:15" x14ac:dyDescent="0.6">
      <c r="A14" s="125"/>
      <c r="B14" s="66"/>
      <c r="C14" s="66"/>
      <c r="D14" s="66"/>
      <c r="E14" s="66"/>
      <c r="F14" s="243"/>
      <c r="G14" s="66"/>
      <c r="H14" s="66"/>
      <c r="I14" s="66"/>
      <c r="J14" s="66"/>
    </row>
    <row r="15" spans="1:15" x14ac:dyDescent="0.6">
      <c r="A15" s="556"/>
    </row>
    <row r="16" spans="1:15" x14ac:dyDescent="0.6">
      <c r="A16" s="557"/>
      <c r="B16" s="66"/>
      <c r="C16" s="66"/>
      <c r="D16" s="66"/>
      <c r="E16" s="66"/>
      <c r="F16" s="66"/>
      <c r="G16" s="66"/>
    </row>
    <row r="17" spans="1:7" x14ac:dyDescent="0.6">
      <c r="A17" s="557"/>
      <c r="B17" s="66"/>
      <c r="C17" s="66"/>
      <c r="D17" s="66"/>
      <c r="E17" s="66"/>
      <c r="F17" s="66"/>
      <c r="G17" s="66"/>
    </row>
    <row r="18" spans="1:7" x14ac:dyDescent="0.6">
      <c r="A18" s="557"/>
      <c r="B18" s="66"/>
      <c r="C18" s="66"/>
      <c r="D18" s="66"/>
      <c r="E18" s="66"/>
      <c r="F18" s="66"/>
      <c r="G18" s="66"/>
    </row>
  </sheetData>
  <phoneticPr fontId="0" type="noConversion"/>
  <printOptions horizontalCentered="1"/>
  <pageMargins left="0.75" right="0.75" top="1" bottom="1" header="0.5" footer="0.5"/>
  <pageSetup scale="96" orientation="landscape" r:id="rId1"/>
  <headerFooter alignWithMargins="0">
    <oddFooter>&amp;L&amp;F</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6">
    <pageSetUpPr fitToPage="1"/>
  </sheetPr>
  <dimension ref="A1:F44"/>
  <sheetViews>
    <sheetView zoomScale="70" workbookViewId="0"/>
  </sheetViews>
  <sheetFormatPr defaultRowHeight="13" x14ac:dyDescent="0.6"/>
  <cols>
    <col min="1" max="1" width="42.6796875" customWidth="1"/>
    <col min="2" max="2" width="13.6796875" customWidth="1"/>
    <col min="3" max="3" width="3.31640625" customWidth="1"/>
    <col min="4" max="4" width="10.6796875" customWidth="1"/>
    <col min="5" max="5" width="3.31640625" customWidth="1"/>
    <col min="6" max="6" width="13.6796875" customWidth="1"/>
  </cols>
  <sheetData>
    <row r="1" spans="1:6" ht="15.5" x14ac:dyDescent="0.7">
      <c r="A1" s="158" t="s">
        <v>720</v>
      </c>
      <c r="B1" s="17"/>
      <c r="C1" s="17"/>
      <c r="D1" s="17"/>
      <c r="E1" s="17"/>
      <c r="F1" s="17"/>
    </row>
    <row r="2" spans="1:6" ht="15.5" x14ac:dyDescent="0.7">
      <c r="A2" s="158" t="s">
        <v>787</v>
      </c>
      <c r="B2" s="17"/>
      <c r="C2" s="17"/>
      <c r="D2" s="17"/>
      <c r="E2" s="17"/>
      <c r="F2" s="17"/>
    </row>
    <row r="3" spans="1:6" x14ac:dyDescent="0.6">
      <c r="A3" s="34"/>
      <c r="B3" s="148"/>
      <c r="C3" s="149"/>
      <c r="D3" s="149"/>
      <c r="E3" s="149"/>
      <c r="F3" s="150"/>
    </row>
    <row r="4" spans="1:6" x14ac:dyDescent="0.6">
      <c r="A4" s="18"/>
      <c r="B4" s="233" t="s">
        <v>226</v>
      </c>
      <c r="C4" s="233"/>
      <c r="D4" s="152"/>
      <c r="E4" s="308"/>
      <c r="F4" s="230" t="s">
        <v>117</v>
      </c>
    </row>
    <row r="5" spans="1:6" x14ac:dyDescent="0.6">
      <c r="A5" s="18"/>
      <c r="B5" s="232" t="s">
        <v>118</v>
      </c>
      <c r="C5" s="232"/>
      <c r="D5" s="155" t="s">
        <v>97</v>
      </c>
      <c r="E5" s="309"/>
      <c r="F5" s="231" t="s">
        <v>118</v>
      </c>
    </row>
    <row r="6" spans="1:6" x14ac:dyDescent="0.6">
      <c r="A6" s="250" t="s">
        <v>119</v>
      </c>
      <c r="B6" s="251"/>
      <c r="C6" s="251"/>
      <c r="D6" s="251"/>
      <c r="E6" s="310"/>
      <c r="F6" s="252"/>
    </row>
    <row r="7" spans="1:6" x14ac:dyDescent="0.6">
      <c r="A7" s="253" t="s">
        <v>120</v>
      </c>
      <c r="B7" s="254"/>
      <c r="C7" s="254"/>
      <c r="D7" s="255"/>
      <c r="E7" s="311"/>
      <c r="F7" s="256"/>
    </row>
    <row r="8" spans="1:6" x14ac:dyDescent="0.6">
      <c r="A8" s="321" t="s">
        <v>455</v>
      </c>
      <c r="B8" s="153">
        <f>'Table 3.11-Form3547 Costs'!L52</f>
        <v>1.4828963906532091E-2</v>
      </c>
      <c r="C8" s="315" t="s">
        <v>236</v>
      </c>
      <c r="D8" s="255"/>
      <c r="E8" s="311"/>
      <c r="F8" s="256"/>
    </row>
    <row r="9" spans="1:6" x14ac:dyDescent="0.6">
      <c r="A9" s="321" t="s">
        <v>318</v>
      </c>
      <c r="B9" s="153">
        <f>'Table 3.11-Form3547 Costs'!L53</f>
        <v>1.5161986510155879E-3</v>
      </c>
      <c r="C9" s="315" t="s">
        <v>236</v>
      </c>
      <c r="D9" s="255"/>
      <c r="E9" s="311"/>
      <c r="F9" s="256"/>
    </row>
    <row r="10" spans="1:6" x14ac:dyDescent="0.6">
      <c r="A10" s="257" t="s">
        <v>121</v>
      </c>
      <c r="B10" s="153">
        <f>'Table 3.11-Form3547 Costs'!L54</f>
        <v>8.1394833696909225E-2</v>
      </c>
      <c r="C10" s="315" t="s">
        <v>236</v>
      </c>
      <c r="D10" s="116"/>
      <c r="E10" s="312"/>
      <c r="F10" s="256"/>
    </row>
    <row r="11" spans="1:6" x14ac:dyDescent="0.6">
      <c r="A11" s="257" t="s">
        <v>122</v>
      </c>
      <c r="B11" s="153">
        <f>'Table 3.11-Form3547 Costs'!L55</f>
        <v>0.8312232333925027</v>
      </c>
      <c r="C11" s="315" t="s">
        <v>236</v>
      </c>
      <c r="D11" s="255"/>
      <c r="E11" s="311"/>
      <c r="F11" s="256"/>
    </row>
    <row r="12" spans="1:6" x14ac:dyDescent="0.6">
      <c r="A12" s="257" t="s">
        <v>123</v>
      </c>
      <c r="B12" s="153">
        <f>'Table 3.11-Form3547 Costs'!L56</f>
        <v>3.1306308993106248E-2</v>
      </c>
      <c r="C12" s="315" t="s">
        <v>236</v>
      </c>
      <c r="D12" s="255"/>
      <c r="E12" s="311"/>
      <c r="F12" s="256"/>
    </row>
    <row r="13" spans="1:6" x14ac:dyDescent="0.6">
      <c r="A13" s="258" t="s">
        <v>102</v>
      </c>
      <c r="B13" s="154">
        <f>SUM(B8:B12)</f>
        <v>0.96026953864006592</v>
      </c>
      <c r="C13" s="154"/>
      <c r="D13" s="263">
        <f>'Table 3.37-Notice Inputs'!B12</f>
        <v>0.69392524322287119</v>
      </c>
      <c r="E13" s="316" t="s">
        <v>238</v>
      </c>
      <c r="F13" s="260">
        <f>B13*D13</f>
        <v>0.66635527316032206</v>
      </c>
    </row>
    <row r="14" spans="1:6" x14ac:dyDescent="0.6">
      <c r="A14" s="261"/>
      <c r="B14" s="153"/>
      <c r="C14" s="153"/>
      <c r="D14" s="259"/>
      <c r="E14" s="313"/>
      <c r="F14" s="262"/>
    </row>
    <row r="15" spans="1:6" x14ac:dyDescent="0.6">
      <c r="A15" s="253" t="s">
        <v>114</v>
      </c>
      <c r="B15" s="153"/>
      <c r="C15" s="153"/>
      <c r="D15" s="259"/>
      <c r="E15" s="313"/>
      <c r="F15" s="262"/>
    </row>
    <row r="16" spans="1:6" x14ac:dyDescent="0.6">
      <c r="A16" s="321" t="s">
        <v>455</v>
      </c>
      <c r="B16" s="153">
        <f>'Table 3.11-Form3547 Costs'!L60</f>
        <v>6.6080080518181636E-2</v>
      </c>
      <c r="C16" s="315" t="s">
        <v>236</v>
      </c>
      <c r="D16" s="259"/>
      <c r="E16" s="313"/>
      <c r="F16" s="262"/>
    </row>
    <row r="17" spans="1:6" x14ac:dyDescent="0.6">
      <c r="A17" s="321" t="s">
        <v>318</v>
      </c>
      <c r="B17" s="153">
        <f>'Table 3.11-Form3547 Costs'!L61</f>
        <v>6.756407903625348E-3</v>
      </c>
      <c r="C17" s="315" t="s">
        <v>236</v>
      </c>
      <c r="D17" s="259"/>
      <c r="E17" s="313"/>
      <c r="F17" s="262"/>
    </row>
    <row r="18" spans="1:6" x14ac:dyDescent="0.6">
      <c r="A18" s="257" t="s">
        <v>121</v>
      </c>
      <c r="B18" s="153">
        <f>'Table 3.11-Form3547 Costs'!L62</f>
        <v>9.1675664541778321E-2</v>
      </c>
      <c r="C18" s="315" t="s">
        <v>236</v>
      </c>
      <c r="D18" s="259"/>
      <c r="E18" s="313"/>
      <c r="F18" s="262"/>
    </row>
    <row r="19" spans="1:6" x14ac:dyDescent="0.6">
      <c r="A19" s="257" t="s">
        <v>122</v>
      </c>
      <c r="B19" s="153">
        <f>'Table 3.11-Form3547 Costs'!L63</f>
        <v>1.0700700063629476</v>
      </c>
      <c r="C19" s="315" t="s">
        <v>236</v>
      </c>
      <c r="D19" s="259"/>
      <c r="E19" s="313"/>
      <c r="F19" s="262"/>
    </row>
    <row r="20" spans="1:6" x14ac:dyDescent="0.6">
      <c r="A20" s="257" t="s">
        <v>123</v>
      </c>
      <c r="B20" s="153">
        <f>'Table 3.11-Form3547 Costs'!L64</f>
        <v>3.0941920154924474E-2</v>
      </c>
      <c r="C20" s="315" t="s">
        <v>236</v>
      </c>
      <c r="D20" s="259"/>
      <c r="E20" s="313"/>
      <c r="F20" s="262"/>
    </row>
    <row r="21" spans="1:6" x14ac:dyDescent="0.6">
      <c r="A21" s="253" t="s">
        <v>102</v>
      </c>
      <c r="B21" s="154">
        <f>SUM(B16:B20)</f>
        <v>1.2655240794814575</v>
      </c>
      <c r="C21" s="154"/>
      <c r="D21" s="263">
        <f>'Table 3.37-Notice Inputs'!B13</f>
        <v>8.6425047237417882E-2</v>
      </c>
      <c r="E21" s="316" t="s">
        <v>238</v>
      </c>
      <c r="F21" s="260">
        <f>B21*D21</f>
        <v>0.10937297834927474</v>
      </c>
    </row>
    <row r="22" spans="1:6" x14ac:dyDescent="0.6">
      <c r="A22" s="261"/>
      <c r="B22" s="153"/>
      <c r="C22" s="153"/>
      <c r="D22" s="263"/>
      <c r="E22" s="313"/>
      <c r="F22" s="262"/>
    </row>
    <row r="23" spans="1:6" x14ac:dyDescent="0.6">
      <c r="A23" s="253" t="s">
        <v>124</v>
      </c>
      <c r="B23" s="153"/>
      <c r="C23" s="153"/>
      <c r="D23" s="263">
        <f>1-D13-D21</f>
        <v>0.21964970953971091</v>
      </c>
      <c r="E23" s="316" t="s">
        <v>238</v>
      </c>
      <c r="F23" s="260">
        <v>0</v>
      </c>
    </row>
    <row r="24" spans="1:6" x14ac:dyDescent="0.6">
      <c r="A24" s="261"/>
      <c r="B24" s="153"/>
      <c r="C24" s="153"/>
      <c r="D24" s="263"/>
      <c r="E24" s="314"/>
      <c r="F24" s="262"/>
    </row>
    <row r="25" spans="1:6" x14ac:dyDescent="0.6">
      <c r="A25" s="253" t="s">
        <v>125</v>
      </c>
      <c r="B25" s="153"/>
      <c r="C25" s="153"/>
      <c r="D25" s="263">
        <f>SUM(D13,D21,D23)</f>
        <v>1</v>
      </c>
      <c r="E25" s="313"/>
      <c r="F25" s="264">
        <f>SUM(F13:F23)</f>
        <v>0.77572825150959679</v>
      </c>
    </row>
    <row r="26" spans="1:6" x14ac:dyDescent="0.6">
      <c r="A26" s="261"/>
      <c r="B26" s="153"/>
      <c r="C26" s="153"/>
      <c r="D26" s="263"/>
      <c r="E26" s="313"/>
      <c r="F26" s="262"/>
    </row>
    <row r="27" spans="1:6" x14ac:dyDescent="0.6">
      <c r="A27" s="253" t="s">
        <v>126</v>
      </c>
      <c r="B27" s="153"/>
      <c r="C27" s="153"/>
      <c r="D27" s="263"/>
      <c r="E27" s="313"/>
      <c r="F27" s="262"/>
    </row>
    <row r="28" spans="1:6" x14ac:dyDescent="0.6">
      <c r="A28" s="321" t="s">
        <v>455</v>
      </c>
      <c r="B28" s="153">
        <f>'Table 3.12-Form3579 Costs'!L7</f>
        <v>0.54355125390558079</v>
      </c>
      <c r="C28" s="315" t="s">
        <v>239</v>
      </c>
      <c r="D28" s="263"/>
      <c r="E28" s="313"/>
      <c r="F28" s="262"/>
    </row>
    <row r="29" spans="1:6" x14ac:dyDescent="0.6">
      <c r="A29" s="321" t="s">
        <v>318</v>
      </c>
      <c r="B29" s="153">
        <f>'Table 3.12-Form3579 Costs'!L8</f>
        <v>0.36478417743308389</v>
      </c>
      <c r="C29" s="315" t="s">
        <v>239</v>
      </c>
      <c r="D29" s="263"/>
      <c r="E29" s="313"/>
      <c r="F29" s="262"/>
    </row>
    <row r="30" spans="1:6" x14ac:dyDescent="0.6">
      <c r="A30" s="257" t="s">
        <v>121</v>
      </c>
      <c r="B30" s="153">
        <f>'Table 3.12-Form3579 Costs'!L9</f>
        <v>4.4417099604126133E-2</v>
      </c>
      <c r="C30" s="315" t="s">
        <v>239</v>
      </c>
      <c r="D30" s="263"/>
      <c r="E30" s="313"/>
      <c r="F30" s="262"/>
    </row>
    <row r="31" spans="1:6" x14ac:dyDescent="0.6">
      <c r="A31" s="257" t="s">
        <v>122</v>
      </c>
      <c r="B31" s="153">
        <f>'Table 3.12-Form3579 Costs'!L10</f>
        <v>0.18362485999870209</v>
      </c>
      <c r="C31" s="315" t="s">
        <v>239</v>
      </c>
      <c r="D31" s="263"/>
      <c r="E31" s="313"/>
      <c r="F31" s="262"/>
    </row>
    <row r="32" spans="1:6" x14ac:dyDescent="0.6">
      <c r="A32" s="257" t="s">
        <v>123</v>
      </c>
      <c r="B32" s="153">
        <f>'Table 3.12-Form3579 Costs'!L11</f>
        <v>3.7675974402252904E-3</v>
      </c>
      <c r="C32" s="315" t="s">
        <v>239</v>
      </c>
      <c r="D32" s="263"/>
      <c r="E32" s="313"/>
      <c r="F32" s="262"/>
    </row>
    <row r="33" spans="1:6" x14ac:dyDescent="0.6">
      <c r="A33" s="253" t="s">
        <v>127</v>
      </c>
      <c r="B33" s="154">
        <f>SUM(B28:B32)</f>
        <v>1.1401449883817183</v>
      </c>
      <c r="C33" s="154"/>
      <c r="D33" s="263">
        <v>1</v>
      </c>
      <c r="E33" s="313"/>
      <c r="F33" s="260">
        <f>B33*D33</f>
        <v>1.1401449883817183</v>
      </c>
    </row>
    <row r="34" spans="1:6" x14ac:dyDescent="0.6">
      <c r="A34" s="257"/>
      <c r="B34" s="153"/>
      <c r="C34" s="153"/>
      <c r="D34" s="255"/>
      <c r="E34" s="311"/>
      <c r="F34" s="262"/>
    </row>
    <row r="35" spans="1:6" x14ac:dyDescent="0.6">
      <c r="A35" s="591" t="s">
        <v>10</v>
      </c>
      <c r="B35" s="266"/>
      <c r="C35" s="266"/>
      <c r="D35" s="267"/>
      <c r="E35" s="267"/>
      <c r="F35" s="268">
        <f>(F25*'Table 3.37-Notice Inputs'!B17+F33*'Table 3.37-Notice Inputs'!B21)/SUM('Table 3.37-Notice Inputs'!B17,'Table 3.37-Notice Inputs'!B21)</f>
        <v>0.83701967325630466</v>
      </c>
    </row>
    <row r="36" spans="1:6" hidden="1" x14ac:dyDescent="0.6">
      <c r="A36" s="27"/>
      <c r="B36" s="35"/>
      <c r="C36" s="35"/>
      <c r="D36" s="35"/>
      <c r="E36" s="35"/>
      <c r="F36" s="27"/>
    </row>
    <row r="37" spans="1:6" hidden="1" x14ac:dyDescent="0.6">
      <c r="B37" s="35"/>
      <c r="C37" s="35"/>
      <c r="D37" s="35"/>
      <c r="E37" s="408" t="s">
        <v>188</v>
      </c>
      <c r="F37" s="143">
        <f>F25-'Table 3.11-Form3547 Costs'!P69</f>
        <v>0</v>
      </c>
    </row>
    <row r="38" spans="1:6" hidden="1" x14ac:dyDescent="0.6">
      <c r="A38" s="27"/>
      <c r="B38" s="35"/>
      <c r="C38" s="35"/>
      <c r="D38" s="35"/>
      <c r="E38" s="408" t="s">
        <v>188</v>
      </c>
      <c r="F38" s="143">
        <f>F33-'Table 3.12-Form3579 Costs'!P12</f>
        <v>0</v>
      </c>
    </row>
    <row r="39" spans="1:6" hidden="1" x14ac:dyDescent="0.6">
      <c r="A39" s="27"/>
      <c r="B39" s="35"/>
      <c r="C39" s="35"/>
      <c r="D39" s="35"/>
      <c r="E39" s="408" t="s">
        <v>188</v>
      </c>
      <c r="F39" s="143">
        <f>F35-'Table 3.1-UAA Summary'!M58</f>
        <v>0</v>
      </c>
    </row>
    <row r="40" spans="1:6" x14ac:dyDescent="0.6">
      <c r="A40" s="317"/>
      <c r="B40" s="318"/>
      <c r="C40" s="318"/>
      <c r="D40" s="35"/>
      <c r="E40" s="35"/>
      <c r="F40" s="27"/>
    </row>
    <row r="41" spans="1:6" x14ac:dyDescent="0.6">
      <c r="A41" s="27" t="s">
        <v>235</v>
      </c>
      <c r="B41" s="35"/>
      <c r="C41" s="35"/>
      <c r="D41" s="35"/>
      <c r="E41" s="35"/>
      <c r="F41" s="27"/>
    </row>
    <row r="42" spans="1:6" x14ac:dyDescent="0.6">
      <c r="A42" s="241" t="s">
        <v>480</v>
      </c>
      <c r="B42" s="35"/>
      <c r="C42" s="35"/>
      <c r="D42" s="35"/>
      <c r="E42" s="35"/>
      <c r="F42" s="27"/>
    </row>
    <row r="43" spans="1:6" x14ac:dyDescent="0.6">
      <c r="A43" s="241" t="s">
        <v>707</v>
      </c>
      <c r="B43" s="35"/>
      <c r="C43" s="35"/>
      <c r="D43" s="35"/>
      <c r="E43" s="35"/>
      <c r="F43" s="27"/>
    </row>
    <row r="44" spans="1:6" x14ac:dyDescent="0.6">
      <c r="A44" s="12" t="s">
        <v>668</v>
      </c>
    </row>
  </sheetData>
  <phoneticPr fontId="0" type="noConversion"/>
  <printOptions horizontalCentered="1"/>
  <pageMargins left="0.75" right="0.75" top="1" bottom="1" header="0.5" footer="0.5"/>
  <pageSetup scale="93" orientation="landscape" r:id="rId1"/>
  <headerFooter alignWithMargins="0">
    <oddFooter>&amp;L&amp;F</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pageSetUpPr fitToPage="1"/>
  </sheetPr>
  <dimension ref="A1:M34"/>
  <sheetViews>
    <sheetView zoomScale="70" workbookViewId="0"/>
  </sheetViews>
  <sheetFormatPr defaultRowHeight="13" x14ac:dyDescent="0.6"/>
  <cols>
    <col min="1" max="1" width="25.31640625" customWidth="1"/>
    <col min="2" max="5" width="10.6796875" customWidth="1"/>
    <col min="6" max="6" width="3.6796875" customWidth="1"/>
    <col min="7" max="9" width="10.6796875" customWidth="1"/>
    <col min="10" max="10" width="3.6796875" customWidth="1"/>
    <col min="11" max="13" width="10.6796875" customWidth="1"/>
  </cols>
  <sheetData>
    <row r="1" spans="1:13" ht="15.5" x14ac:dyDescent="0.7">
      <c r="A1" s="158" t="s">
        <v>721</v>
      </c>
    </row>
    <row r="2" spans="1:13" ht="15.5" x14ac:dyDescent="0.7">
      <c r="A2" s="158" t="s">
        <v>787</v>
      </c>
    </row>
    <row r="4" spans="1:13" x14ac:dyDescent="0.6">
      <c r="B4" s="469" t="s">
        <v>574</v>
      </c>
      <c r="C4" s="395"/>
      <c r="D4" s="395"/>
      <c r="E4" s="396"/>
      <c r="F4" s="18"/>
      <c r="G4" s="469" t="s">
        <v>479</v>
      </c>
      <c r="H4" s="395"/>
      <c r="I4" s="396"/>
      <c r="K4" s="469" t="s">
        <v>269</v>
      </c>
      <c r="L4" s="395"/>
      <c r="M4" s="396"/>
    </row>
    <row r="5" spans="1:13" x14ac:dyDescent="0.6">
      <c r="B5" s="472" t="s">
        <v>460</v>
      </c>
      <c r="C5" s="221" t="s">
        <v>459</v>
      </c>
      <c r="D5" s="221" t="s">
        <v>460</v>
      </c>
      <c r="E5" s="473" t="s">
        <v>461</v>
      </c>
      <c r="F5" s="18"/>
      <c r="G5" s="472"/>
      <c r="H5" s="221"/>
      <c r="I5" s="473"/>
      <c r="K5" s="472"/>
      <c r="L5" s="18"/>
      <c r="M5" s="369"/>
    </row>
    <row r="6" spans="1:13" x14ac:dyDescent="0.6">
      <c r="A6" s="283" t="s">
        <v>396</v>
      </c>
      <c r="B6" s="470" t="s">
        <v>462</v>
      </c>
      <c r="C6" s="451" t="s">
        <v>463</v>
      </c>
      <c r="D6" s="451" t="s">
        <v>464</v>
      </c>
      <c r="E6" s="471" t="s">
        <v>464</v>
      </c>
      <c r="F6" s="18"/>
      <c r="G6" s="475" t="s">
        <v>147</v>
      </c>
      <c r="H6" s="476" t="s">
        <v>344</v>
      </c>
      <c r="I6" s="394" t="s">
        <v>102</v>
      </c>
      <c r="K6" s="475" t="s">
        <v>147</v>
      </c>
      <c r="L6" s="476" t="s">
        <v>344</v>
      </c>
      <c r="M6" s="394" t="s">
        <v>102</v>
      </c>
    </row>
    <row r="7" spans="1:13" x14ac:dyDescent="0.6">
      <c r="A7" s="16" t="s">
        <v>465</v>
      </c>
    </row>
    <row r="8" spans="1:13" x14ac:dyDescent="0.6">
      <c r="A8" s="353" t="s">
        <v>408</v>
      </c>
      <c r="B8" s="6">
        <v>248672.068</v>
      </c>
      <c r="C8" s="6">
        <v>3730.0810200000001</v>
      </c>
      <c r="D8" s="6">
        <v>95894.78790267001</v>
      </c>
      <c r="E8" s="6">
        <v>149047.19907733003</v>
      </c>
      <c r="F8" s="6"/>
      <c r="G8" s="6">
        <v>0</v>
      </c>
      <c r="H8" s="6">
        <v>51531.202644388264</v>
      </c>
      <c r="I8" s="6">
        <f>SUM(G8:H8)</f>
        <v>51531.202644388264</v>
      </c>
      <c r="J8" s="6"/>
      <c r="K8" s="6">
        <f>B8+G8</f>
        <v>248672.068</v>
      </c>
      <c r="L8" s="6">
        <f>H8</f>
        <v>51531.202644388264</v>
      </c>
      <c r="M8" s="6">
        <f>SUM(K8:L8)</f>
        <v>300203.27064438828</v>
      </c>
    </row>
    <row r="9" spans="1:13" x14ac:dyDescent="0.6">
      <c r="A9" s="353" t="s">
        <v>407</v>
      </c>
      <c r="B9" s="6">
        <v>885912.31131991604</v>
      </c>
      <c r="C9" s="6">
        <v>44295.615565995809</v>
      </c>
      <c r="D9" s="6">
        <v>329492.93638765981</v>
      </c>
      <c r="E9" s="6">
        <v>512123.75936626055</v>
      </c>
      <c r="F9" s="6"/>
      <c r="G9" s="6">
        <v>0</v>
      </c>
      <c r="H9" s="6">
        <v>57550.326650079725</v>
      </c>
      <c r="I9" s="6">
        <f>SUM(G9:H9)</f>
        <v>57550.326650079725</v>
      </c>
      <c r="J9" s="6"/>
      <c r="K9" s="6">
        <f>B9+G9</f>
        <v>885912.31131991604</v>
      </c>
      <c r="L9" s="6">
        <f>H9</f>
        <v>57550.326650079725</v>
      </c>
      <c r="M9" s="6">
        <f>SUM(K9:L9)</f>
        <v>943462.63796999573</v>
      </c>
    </row>
    <row r="10" spans="1:13" x14ac:dyDescent="0.6">
      <c r="A10" s="353" t="s">
        <v>102</v>
      </c>
      <c r="B10" s="6">
        <f>SUM(B8:B9)</f>
        <v>1134584.379319916</v>
      </c>
      <c r="C10" s="6">
        <f>SUM(C8:C9)</f>
        <v>48025.696585995807</v>
      </c>
      <c r="D10" s="6">
        <f>SUM(D8:D9)</f>
        <v>425387.72429032985</v>
      </c>
      <c r="E10" s="6">
        <f>SUM(E8:E9)</f>
        <v>661170.95844359056</v>
      </c>
      <c r="F10" s="6"/>
      <c r="G10" s="6">
        <f>SUM(G8:G9)</f>
        <v>0</v>
      </c>
      <c r="H10" s="6">
        <f>SUM(H8:H9)</f>
        <v>109081.529294468</v>
      </c>
      <c r="I10" s="6">
        <f>SUM(I8:I9)</f>
        <v>109081.529294468</v>
      </c>
      <c r="J10" s="6"/>
      <c r="K10" s="6">
        <f>SUM(K8:K9)</f>
        <v>1134584.379319916</v>
      </c>
      <c r="L10" s="6">
        <f>SUM(L8:L9)</f>
        <v>109081.529294468</v>
      </c>
      <c r="M10" s="6">
        <f>SUM(M8:M9)</f>
        <v>1243665.908614384</v>
      </c>
    </row>
    <row r="11" spans="1:13" x14ac:dyDescent="0.6">
      <c r="B11" s="6"/>
      <c r="C11" s="6"/>
      <c r="D11" s="6"/>
      <c r="E11" s="6"/>
      <c r="F11" s="6"/>
      <c r="G11" s="6"/>
      <c r="H11" s="6"/>
      <c r="I11" s="6"/>
      <c r="J11" s="6"/>
      <c r="K11" s="6"/>
    </row>
    <row r="12" spans="1:13" x14ac:dyDescent="0.6">
      <c r="A12" s="16" t="s">
        <v>276</v>
      </c>
      <c r="B12" s="6">
        <v>0</v>
      </c>
      <c r="C12" s="6">
        <v>0</v>
      </c>
      <c r="D12" s="6">
        <v>0</v>
      </c>
      <c r="E12" s="6">
        <v>0</v>
      </c>
      <c r="F12" s="6"/>
      <c r="G12" s="6">
        <v>38264.528729651181</v>
      </c>
      <c r="H12" s="6">
        <v>3313.3629973378297</v>
      </c>
      <c r="I12" s="6">
        <f>SUM(G12:H12)</f>
        <v>41577.891726989008</v>
      </c>
      <c r="J12" s="6"/>
      <c r="K12" s="6">
        <f>B12+G12</f>
        <v>38264.528729651181</v>
      </c>
      <c r="L12" s="6">
        <f>H12</f>
        <v>3313.3629973378297</v>
      </c>
      <c r="M12" s="6">
        <f>SUM(K12:L12)</f>
        <v>41577.891726989008</v>
      </c>
    </row>
    <row r="13" spans="1:13" x14ac:dyDescent="0.6">
      <c r="B13" s="6"/>
      <c r="C13" s="6"/>
      <c r="D13" s="6"/>
      <c r="E13" s="6"/>
      <c r="F13" s="6"/>
      <c r="G13" s="6"/>
      <c r="H13" s="6"/>
      <c r="I13" s="6"/>
      <c r="J13" s="6"/>
      <c r="K13" s="6"/>
    </row>
    <row r="14" spans="1:13" x14ac:dyDescent="0.6">
      <c r="A14" s="16" t="s">
        <v>466</v>
      </c>
      <c r="B14" s="6"/>
      <c r="C14" s="6"/>
      <c r="D14" s="6"/>
      <c r="E14" s="6"/>
      <c r="F14" s="6"/>
      <c r="G14" s="6"/>
      <c r="H14" s="6"/>
      <c r="I14" s="6"/>
      <c r="J14" s="6"/>
      <c r="K14" s="6"/>
    </row>
    <row r="15" spans="1:13" x14ac:dyDescent="0.6">
      <c r="A15" s="353" t="s">
        <v>408</v>
      </c>
      <c r="B15" s="6">
        <v>369215.66517448169</v>
      </c>
      <c r="C15" s="6">
        <v>5538.234977617225</v>
      </c>
      <c r="D15" s="6">
        <v>145242.33532593862</v>
      </c>
      <c r="E15" s="6">
        <v>218435.09487092585</v>
      </c>
      <c r="F15" s="6"/>
      <c r="G15" s="6">
        <v>0</v>
      </c>
      <c r="H15" s="6">
        <v>39684.090698865417</v>
      </c>
      <c r="I15" s="6">
        <f>SUM(G15:H15)</f>
        <v>39684.090698865417</v>
      </c>
      <c r="J15" s="6"/>
      <c r="K15" s="6">
        <f>B15+G15</f>
        <v>369215.66517448169</v>
      </c>
      <c r="L15" s="6">
        <f>H15</f>
        <v>39684.090698865417</v>
      </c>
      <c r="M15" s="6">
        <f>SUM(K15:L15)</f>
        <v>408899.75587334711</v>
      </c>
    </row>
    <row r="16" spans="1:13" x14ac:dyDescent="0.6">
      <c r="A16" s="353" t="s">
        <v>407</v>
      </c>
      <c r="B16" s="6">
        <v>932284.14458534261</v>
      </c>
      <c r="C16" s="6">
        <v>46614.207229267122</v>
      </c>
      <c r="D16" s="6">
        <v>354070.22783807747</v>
      </c>
      <c r="E16" s="6">
        <v>531599.70951799792</v>
      </c>
      <c r="F16" s="6"/>
      <c r="G16" s="6">
        <v>17386.690411196279</v>
      </c>
      <c r="H16" s="6">
        <v>33250.310123127121</v>
      </c>
      <c r="I16" s="6">
        <f>SUM(G16:H16)</f>
        <v>50637.000534323401</v>
      </c>
      <c r="J16" s="6"/>
      <c r="K16" s="6">
        <f>B16+G16</f>
        <v>949670.83499653894</v>
      </c>
      <c r="L16" s="6">
        <f>H16</f>
        <v>33250.310123127121</v>
      </c>
      <c r="M16" s="6">
        <f>SUM(K16:L16)</f>
        <v>982921.14511966601</v>
      </c>
    </row>
    <row r="17" spans="1:13" x14ac:dyDescent="0.6">
      <c r="A17" s="353" t="s">
        <v>102</v>
      </c>
      <c r="B17" s="6">
        <f>SUM(B15:B16)</f>
        <v>1301499.8097598243</v>
      </c>
      <c r="C17" s="6">
        <f>SUM(C15:C16)</f>
        <v>52152.442206884349</v>
      </c>
      <c r="D17" s="6">
        <f>SUM(D15:D16)</f>
        <v>499312.56316401612</v>
      </c>
      <c r="E17" s="6">
        <f>SUM(E15:E16)</f>
        <v>750034.8043889238</v>
      </c>
      <c r="F17" s="6"/>
      <c r="G17" s="6">
        <f>SUM(G15:G16)</f>
        <v>17386.690411196279</v>
      </c>
      <c r="H17" s="6">
        <f>SUM(H15:H16)</f>
        <v>72934.400821992545</v>
      </c>
      <c r="I17" s="6">
        <f>SUM(I15:I16)</f>
        <v>90321.09123318881</v>
      </c>
      <c r="J17" s="6"/>
      <c r="K17" s="6">
        <f>SUM(K15:K16)</f>
        <v>1318886.5001710206</v>
      </c>
      <c r="L17" s="6">
        <f>SUM(L15:L16)</f>
        <v>72934.400821992545</v>
      </c>
      <c r="M17" s="6">
        <f>SUM(M15:M16)</f>
        <v>1391820.9009930131</v>
      </c>
    </row>
    <row r="18" spans="1:13" x14ac:dyDescent="0.6">
      <c r="B18" s="6"/>
      <c r="C18" s="6"/>
      <c r="D18" s="6"/>
      <c r="E18" s="6"/>
      <c r="F18" s="6"/>
      <c r="G18" s="6"/>
      <c r="H18" s="6"/>
      <c r="I18" s="6"/>
      <c r="J18" s="6"/>
      <c r="K18" s="6"/>
    </row>
    <row r="19" spans="1:13" x14ac:dyDescent="0.6">
      <c r="A19" s="49" t="s">
        <v>467</v>
      </c>
      <c r="B19" s="6"/>
      <c r="C19" s="6"/>
      <c r="D19" s="6"/>
      <c r="E19" s="6"/>
      <c r="F19" s="6"/>
      <c r="G19" s="6"/>
      <c r="H19" s="6"/>
      <c r="I19" s="6"/>
      <c r="J19" s="6"/>
      <c r="K19" s="6"/>
    </row>
    <row r="20" spans="1:13" x14ac:dyDescent="0.6">
      <c r="A20" s="353" t="s">
        <v>408</v>
      </c>
      <c r="B20" s="6">
        <v>0</v>
      </c>
      <c r="C20" s="6">
        <v>0</v>
      </c>
      <c r="D20" s="6">
        <v>0</v>
      </c>
      <c r="E20" s="6">
        <v>0</v>
      </c>
      <c r="F20" s="6"/>
      <c r="G20" s="6">
        <v>0</v>
      </c>
      <c r="H20" s="6">
        <v>0</v>
      </c>
      <c r="I20" s="6">
        <f>SUM(G20:H20)</f>
        <v>0</v>
      </c>
      <c r="J20" s="6"/>
      <c r="K20" s="6">
        <f>B20+G20</f>
        <v>0</v>
      </c>
      <c r="L20" s="6">
        <f>H20</f>
        <v>0</v>
      </c>
      <c r="M20" s="6">
        <f>SUM(K20:L20)</f>
        <v>0</v>
      </c>
    </row>
    <row r="21" spans="1:13" x14ac:dyDescent="0.6">
      <c r="A21" s="353" t="s">
        <v>407</v>
      </c>
      <c r="B21" s="6">
        <v>743967.11692025955</v>
      </c>
      <c r="C21" s="6">
        <v>37198.355846012979</v>
      </c>
      <c r="D21" s="6">
        <v>282707.50442969863</v>
      </c>
      <c r="E21" s="6">
        <v>424061.25664454798</v>
      </c>
      <c r="F21" s="6"/>
      <c r="G21" s="6">
        <v>1768118.2811304154</v>
      </c>
      <c r="H21" s="6">
        <v>400947.77474431921</v>
      </c>
      <c r="I21" s="6">
        <f>SUM(G21:H21)</f>
        <v>2169066.0558747347</v>
      </c>
      <c r="J21" s="6"/>
      <c r="K21" s="6">
        <f>B21+G21</f>
        <v>2512085.3980506752</v>
      </c>
      <c r="L21" s="6">
        <f>H21</f>
        <v>400947.77474431921</v>
      </c>
      <c r="M21" s="6">
        <f>SUM(K21:L21)</f>
        <v>2913033.1727949944</v>
      </c>
    </row>
    <row r="22" spans="1:13" x14ac:dyDescent="0.6">
      <c r="A22" s="353" t="s">
        <v>102</v>
      </c>
      <c r="B22" s="6">
        <f>SUM(B20:B21)</f>
        <v>743967.11692025955</v>
      </c>
      <c r="C22" s="6">
        <f>SUM(C20:C21)</f>
        <v>37198.355846012979</v>
      </c>
      <c r="D22" s="6">
        <f>SUM(D20:D21)</f>
        <v>282707.50442969863</v>
      </c>
      <c r="E22" s="6">
        <f>SUM(E20:E21)</f>
        <v>424061.25664454798</v>
      </c>
      <c r="F22" s="6"/>
      <c r="G22" s="6">
        <f>SUM(G20:G21)</f>
        <v>1768118.2811304154</v>
      </c>
      <c r="H22" s="6">
        <f>SUM(H20:H21)</f>
        <v>400947.77474431921</v>
      </c>
      <c r="I22" s="6">
        <f>SUM(I20:I21)</f>
        <v>2169066.0558747347</v>
      </c>
      <c r="J22" s="6"/>
      <c r="K22" s="6">
        <f>SUM(K20:K21)</f>
        <v>2512085.3980506752</v>
      </c>
      <c r="L22" s="6">
        <f>SUM(L20:L21)</f>
        <v>400947.77474431921</v>
      </c>
      <c r="M22" s="6">
        <f>SUM(M20:M21)</f>
        <v>2913033.1727949944</v>
      </c>
    </row>
    <row r="23" spans="1:13" x14ac:dyDescent="0.6">
      <c r="B23" s="6"/>
      <c r="C23" s="6"/>
      <c r="D23" s="6"/>
      <c r="E23" s="6"/>
      <c r="F23" s="6"/>
      <c r="G23" s="6"/>
      <c r="H23" s="6"/>
      <c r="I23" s="6"/>
      <c r="J23" s="6"/>
      <c r="K23" s="6"/>
    </row>
    <row r="24" spans="1:13" x14ac:dyDescent="0.6">
      <c r="A24" s="16" t="s">
        <v>419</v>
      </c>
      <c r="B24" s="6">
        <f>SUM(B10,B12,B17,B22)</f>
        <v>3180051.3059999999</v>
      </c>
      <c r="C24" s="6">
        <f>SUM(C10,C12,C17,C22)</f>
        <v>137376.49463889314</v>
      </c>
      <c r="D24" s="6">
        <f>SUM(D10,D12,D17,D22)</f>
        <v>1207407.7918840447</v>
      </c>
      <c r="E24" s="6">
        <f>SUM(E10,E12,E17,E22)</f>
        <v>1835267.0194770624</v>
      </c>
      <c r="F24" s="6"/>
      <c r="G24" s="6">
        <f>SUM(G10,G12,G17,G22)</f>
        <v>1823769.5002712628</v>
      </c>
      <c r="H24" s="6">
        <f>SUM(H10,H12,H17,H22)</f>
        <v>586277.06785811763</v>
      </c>
      <c r="I24" s="6">
        <f>SUM(I10,I12,I17,I22)</f>
        <v>2410046.5681293802</v>
      </c>
      <c r="J24" s="6"/>
      <c r="K24" s="6">
        <f>SUM(K10,K12,K17,K22)</f>
        <v>5003820.8062712625</v>
      </c>
      <c r="L24" s="6">
        <f>SUM(L10,L12,L17,L22)</f>
        <v>586277.06785811763</v>
      </c>
      <c r="M24" s="6">
        <f>SUM(M10,M12,M17,M22)</f>
        <v>5590097.874129381</v>
      </c>
    </row>
    <row r="25" spans="1:13" hidden="1" x14ac:dyDescent="0.6"/>
    <row r="26" spans="1:13" hidden="1" x14ac:dyDescent="0.6">
      <c r="A26" t="s">
        <v>191</v>
      </c>
      <c r="C26" s="143">
        <f>C8-'Table 3.19-CFS UAA'!B47</f>
        <v>0</v>
      </c>
      <c r="G26" s="143">
        <f>G12-SUM('Table 3.30-UAA MP Cost'!B11:B12)</f>
        <v>0</v>
      </c>
      <c r="H26" s="143">
        <v>0</v>
      </c>
      <c r="I26" s="27"/>
    </row>
    <row r="27" spans="1:13" hidden="1" x14ac:dyDescent="0.6">
      <c r="C27" s="143">
        <f>C9-'Table 3.19-CFS UAA'!B46+'Table 3.19-CFS UAA'!B47</f>
        <v>-1.9099388737231493E-11</v>
      </c>
      <c r="G27" s="143">
        <f>G17-SUM('Table 3.30-UAA MP Cost'!B27:B28)</f>
        <v>0</v>
      </c>
      <c r="H27" s="143">
        <v>0</v>
      </c>
    </row>
    <row r="28" spans="1:13" hidden="1" x14ac:dyDescent="0.6">
      <c r="C28" s="143">
        <f>C15-'Table 3.19-CFS UAA'!B60</f>
        <v>0</v>
      </c>
      <c r="G28" s="143">
        <v>0</v>
      </c>
      <c r="H28" s="143">
        <v>0</v>
      </c>
    </row>
    <row r="29" spans="1:13" hidden="1" x14ac:dyDescent="0.6">
      <c r="C29" s="143">
        <f>C16-'Table 3.18-Nixie UAA'!D33</f>
        <v>0</v>
      </c>
      <c r="G29" s="6"/>
      <c r="H29" s="143">
        <v>0</v>
      </c>
    </row>
    <row r="30" spans="1:13" hidden="1" x14ac:dyDescent="0.6">
      <c r="B30" s="143">
        <f>B24-'Table 3.23-CIOSS Summary'!C14</f>
        <v>0</v>
      </c>
      <c r="C30" s="143">
        <f>C21-'Table 3.18-Nixie UAA'!D37</f>
        <v>0</v>
      </c>
      <c r="D30" s="143">
        <f>D24-'Table 3.28-REC Volume'!G40</f>
        <v>0</v>
      </c>
      <c r="E30" s="143">
        <f>E24-'Table 3.28-REC Volume'!H40</f>
        <v>0</v>
      </c>
      <c r="G30" s="143">
        <v>0</v>
      </c>
      <c r="H30" s="143">
        <v>0</v>
      </c>
    </row>
    <row r="31" spans="1:13" x14ac:dyDescent="0.6">
      <c r="A31" s="283"/>
      <c r="B31" s="283"/>
      <c r="C31" s="283"/>
      <c r="D31" s="283"/>
    </row>
    <row r="32" spans="1:13" x14ac:dyDescent="0.6">
      <c r="A32" s="27" t="s">
        <v>235</v>
      </c>
    </row>
    <row r="33" spans="1:1" x14ac:dyDescent="0.6">
      <c r="A33" s="12" t="s">
        <v>669</v>
      </c>
    </row>
    <row r="34" spans="1:1" x14ac:dyDescent="0.6">
      <c r="A34" t="s">
        <v>670</v>
      </c>
    </row>
  </sheetData>
  <phoneticPr fontId="5" type="noConversion"/>
  <printOptions horizontalCentered="1"/>
  <pageMargins left="0.75" right="0.75" top="1" bottom="1" header="0.5" footer="0.5"/>
  <pageSetup scale="88" orientation="landscape" r:id="rId1"/>
  <headerFooter alignWithMargins="0">
    <oddFooter>&amp;L&amp;F</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8">
    <pageSetUpPr fitToPage="1"/>
  </sheetPr>
  <dimension ref="A1:AA46"/>
  <sheetViews>
    <sheetView zoomScale="70" workbookViewId="0"/>
  </sheetViews>
  <sheetFormatPr defaultRowHeight="13" x14ac:dyDescent="0.6"/>
  <cols>
    <col min="1" max="1" width="31.08984375" customWidth="1"/>
    <col min="2" max="2" width="10.6796875" customWidth="1"/>
    <col min="3" max="3" width="2.6796875" customWidth="1"/>
    <col min="4" max="4" width="10.08984375" customWidth="1"/>
    <col min="5" max="5" width="2.6796875" customWidth="1"/>
    <col min="6" max="6" width="12.54296875" customWidth="1"/>
    <col min="7" max="7" width="2.6796875" customWidth="1"/>
    <col min="8" max="8" width="10.6796875" customWidth="1"/>
    <col min="9" max="9" width="2.6796875" customWidth="1"/>
    <col min="10" max="10" width="10.08984375" customWidth="1"/>
    <col min="11" max="11" width="2.6796875" customWidth="1"/>
    <col min="12" max="12" width="12.54296875" customWidth="1"/>
    <col min="13" max="13" width="2.6796875" customWidth="1"/>
    <col min="14" max="14" width="10.6796875" customWidth="1"/>
    <col min="15" max="15" width="2.6796875" customWidth="1"/>
    <col min="16" max="16" width="10.08984375" customWidth="1"/>
    <col min="17" max="17" width="2.6796875" customWidth="1"/>
    <col min="18" max="18" width="12.54296875" customWidth="1"/>
  </cols>
  <sheetData>
    <row r="1" spans="1:18" ht="15.5" x14ac:dyDescent="0.7">
      <c r="A1" s="158" t="s">
        <v>766</v>
      </c>
      <c r="B1" s="320"/>
      <c r="C1" s="320"/>
      <c r="D1" s="320"/>
      <c r="E1" s="320"/>
      <c r="F1" s="320"/>
    </row>
    <row r="2" spans="1:18" ht="16.25" thickBot="1" x14ac:dyDescent="0.85">
      <c r="A2" s="158" t="s">
        <v>787</v>
      </c>
      <c r="B2" s="320"/>
      <c r="C2" s="320"/>
      <c r="D2" s="320"/>
      <c r="E2" s="320"/>
      <c r="F2" s="320"/>
    </row>
    <row r="3" spans="1:18" ht="13.75" thickBot="1" x14ac:dyDescent="0.75">
      <c r="A3" s="17"/>
      <c r="B3" s="418" t="s">
        <v>270</v>
      </c>
      <c r="C3" s="419"/>
      <c r="D3" s="419"/>
      <c r="E3" s="420"/>
      <c r="F3" s="421"/>
      <c r="H3" s="418" t="s">
        <v>147</v>
      </c>
      <c r="I3" s="419"/>
      <c r="J3" s="419"/>
      <c r="K3" s="420"/>
      <c r="L3" s="421"/>
      <c r="N3" s="418" t="s">
        <v>344</v>
      </c>
      <c r="O3" s="419"/>
      <c r="P3" s="419"/>
      <c r="Q3" s="420"/>
      <c r="R3" s="421"/>
    </row>
    <row r="4" spans="1:18" x14ac:dyDescent="0.6">
      <c r="B4" s="416" t="s">
        <v>128</v>
      </c>
      <c r="C4" s="23"/>
      <c r="D4" s="4"/>
      <c r="E4" s="4"/>
      <c r="F4" s="417" t="s">
        <v>117</v>
      </c>
      <c r="H4" s="416" t="s">
        <v>128</v>
      </c>
      <c r="I4" s="23"/>
      <c r="J4" s="4"/>
      <c r="K4" s="4"/>
      <c r="L4" s="417" t="s">
        <v>117</v>
      </c>
      <c r="N4" s="416" t="s">
        <v>128</v>
      </c>
      <c r="O4" s="23"/>
      <c r="P4" s="4"/>
      <c r="Q4" s="4"/>
      <c r="R4" s="417" t="s">
        <v>117</v>
      </c>
    </row>
    <row r="5" spans="1:18" x14ac:dyDescent="0.6">
      <c r="B5" s="229" t="s">
        <v>104</v>
      </c>
      <c r="C5" s="319"/>
      <c r="D5" s="156" t="s">
        <v>97</v>
      </c>
      <c r="E5" s="156"/>
      <c r="F5" s="231" t="s">
        <v>104</v>
      </c>
      <c r="H5" s="229" t="s">
        <v>104</v>
      </c>
      <c r="I5" s="319"/>
      <c r="J5" s="156" t="s">
        <v>97</v>
      </c>
      <c r="K5" s="156"/>
      <c r="L5" s="231" t="s">
        <v>104</v>
      </c>
      <c r="N5" s="229" t="s">
        <v>104</v>
      </c>
      <c r="O5" s="319"/>
      <c r="P5" s="156" t="s">
        <v>97</v>
      </c>
      <c r="Q5" s="156"/>
      <c r="R5" s="231" t="s">
        <v>104</v>
      </c>
    </row>
    <row r="6" spans="1:18" x14ac:dyDescent="0.6">
      <c r="A6" s="422" t="s">
        <v>129</v>
      </c>
      <c r="B6" s="269"/>
      <c r="C6" s="269"/>
      <c r="D6" s="270"/>
      <c r="E6" s="270"/>
      <c r="F6" s="271"/>
      <c r="H6" s="269"/>
      <c r="I6" s="269"/>
      <c r="J6" s="270"/>
      <c r="K6" s="270"/>
      <c r="L6" s="271"/>
      <c r="N6" s="269"/>
      <c r="O6" s="269"/>
      <c r="P6" s="270"/>
      <c r="Q6" s="270"/>
      <c r="R6" s="271"/>
    </row>
    <row r="7" spans="1:18" x14ac:dyDescent="0.6">
      <c r="A7" s="415" t="s">
        <v>470</v>
      </c>
      <c r="B7" s="478"/>
      <c r="C7" s="478"/>
      <c r="D7" s="257"/>
      <c r="E7" s="257"/>
      <c r="F7" s="153"/>
      <c r="H7" s="478"/>
      <c r="I7" s="478"/>
      <c r="J7" s="257"/>
      <c r="K7" s="257"/>
      <c r="L7" s="153"/>
      <c r="N7" s="478"/>
      <c r="O7" s="478"/>
      <c r="P7" s="257"/>
      <c r="Q7" s="257"/>
      <c r="R7" s="153"/>
    </row>
    <row r="8" spans="1:18" x14ac:dyDescent="0.6">
      <c r="A8" s="479" t="s">
        <v>472</v>
      </c>
      <c r="B8" s="153">
        <v>0</v>
      </c>
      <c r="C8" s="315"/>
      <c r="D8" s="558">
        <v>0</v>
      </c>
      <c r="E8" s="315"/>
      <c r="F8" s="153">
        <f>B8*D8</f>
        <v>0</v>
      </c>
      <c r="H8" s="153">
        <v>0</v>
      </c>
      <c r="I8" s="315"/>
      <c r="J8" s="558">
        <v>0</v>
      </c>
      <c r="K8" s="315"/>
      <c r="L8" s="153">
        <f>H8*J8</f>
        <v>0</v>
      </c>
      <c r="N8" s="153">
        <v>0</v>
      </c>
      <c r="O8" s="315"/>
      <c r="P8" s="558">
        <v>0</v>
      </c>
      <c r="Q8" s="315"/>
      <c r="R8" s="153">
        <f>N8*P8</f>
        <v>0</v>
      </c>
    </row>
    <row r="9" spans="1:18" x14ac:dyDescent="0.6">
      <c r="A9" s="479" t="s">
        <v>473</v>
      </c>
      <c r="B9" s="153">
        <f>SUM('Table 3.19-CFS UAA'!J44,'Table 3.19-CFS UAA'!J13)/SUM('Table 3.19-CFS UAA'!B44,'Table 3.19-CFS UAA'!B13)</f>
        <v>0.52106803858476958</v>
      </c>
      <c r="C9" s="315" t="s">
        <v>236</v>
      </c>
      <c r="D9" s="558">
        <f>('Table 3.42-Vol Flows'!C8+'Table 3.42-Vol Flows'!H8)/('Table 3.42-Vol Flows'!M8)</f>
        <v>0.18407955231723344</v>
      </c>
      <c r="E9" s="315" t="s">
        <v>239</v>
      </c>
      <c r="F9" s="153">
        <f>B9*D9</f>
        <v>9.5917971269503299E-2</v>
      </c>
      <c r="H9" s="153">
        <f>'Table 3.19-CFS UAA'!K44</f>
        <v>0.52106803858476947</v>
      </c>
      <c r="I9" s="315" t="s">
        <v>236</v>
      </c>
      <c r="J9" s="558">
        <f>'Table 3.42-Vol Flows'!C8/'Table 3.42-Vol Flows'!K8</f>
        <v>1.5000000000000001E-2</v>
      </c>
      <c r="K9" s="315" t="s">
        <v>239</v>
      </c>
      <c r="L9" s="153">
        <f>H9*J9</f>
        <v>7.8160205787715428E-3</v>
      </c>
      <c r="N9" s="153">
        <f>'Table 3.19-CFS UAA'!K13</f>
        <v>0.52106803858476958</v>
      </c>
      <c r="O9" s="315" t="s">
        <v>236</v>
      </c>
      <c r="P9" s="558">
        <f>'Table 3.42-Vol Flows'!H8/'Table 3.42-Vol Flows'!L8</f>
        <v>1</v>
      </c>
      <c r="Q9" s="315" t="s">
        <v>239</v>
      </c>
      <c r="R9" s="153">
        <f>N9*P9</f>
        <v>0.52106803858476958</v>
      </c>
    </row>
    <row r="10" spans="1:18" x14ac:dyDescent="0.6">
      <c r="A10" s="415"/>
      <c r="B10" s="153"/>
      <c r="C10" s="315"/>
      <c r="D10" s="558"/>
      <c r="E10" s="315"/>
      <c r="F10" s="153"/>
      <c r="H10" s="153"/>
      <c r="I10" s="315"/>
      <c r="J10" s="558"/>
      <c r="K10" s="315"/>
      <c r="L10" s="153"/>
      <c r="N10" s="153"/>
      <c r="O10" s="315"/>
      <c r="P10" s="558"/>
      <c r="Q10" s="315"/>
      <c r="R10" s="153"/>
    </row>
    <row r="11" spans="1:18" x14ac:dyDescent="0.6">
      <c r="A11" s="415" t="s">
        <v>459</v>
      </c>
      <c r="B11" s="153"/>
      <c r="C11" s="315"/>
      <c r="D11" s="558"/>
      <c r="E11" s="315"/>
      <c r="F11" s="153"/>
      <c r="H11" s="477"/>
      <c r="I11" s="315"/>
      <c r="J11" s="558"/>
      <c r="K11" s="315"/>
      <c r="L11" s="153"/>
      <c r="N11" s="153"/>
      <c r="O11" s="315"/>
      <c r="P11" s="558"/>
      <c r="Q11" s="315"/>
      <c r="R11" s="153"/>
    </row>
    <row r="12" spans="1:18" x14ac:dyDescent="0.6">
      <c r="A12" s="474" t="s">
        <v>468</v>
      </c>
      <c r="B12" s="153">
        <f>H12</f>
        <v>0</v>
      </c>
      <c r="C12" s="315"/>
      <c r="D12" s="558">
        <f>'Table 3.42-Vol Flows'!D8/'Table 3.42-Vol Flows'!M8</f>
        <v>0.31943285526780313</v>
      </c>
      <c r="E12" s="315" t="s">
        <v>239</v>
      </c>
      <c r="F12" s="153">
        <f>B12*D12</f>
        <v>0</v>
      </c>
      <c r="H12" s="153">
        <v>0</v>
      </c>
      <c r="I12" s="315"/>
      <c r="J12" s="558">
        <f>'Table 3.42-Vol Flows'!D8/'Table 3.42-Vol Flows'!K8</f>
        <v>0.38562750000000007</v>
      </c>
      <c r="K12" s="315" t="s">
        <v>239</v>
      </c>
      <c r="L12" s="153">
        <f>H12*J12</f>
        <v>0</v>
      </c>
      <c r="N12" s="153">
        <v>0</v>
      </c>
      <c r="O12" s="315"/>
      <c r="P12" s="558">
        <v>0</v>
      </c>
      <c r="Q12" s="315"/>
      <c r="R12" s="153">
        <f>N12*P12</f>
        <v>0</v>
      </c>
    </row>
    <row r="13" spans="1:18" x14ac:dyDescent="0.6">
      <c r="A13" s="474" t="s">
        <v>469</v>
      </c>
      <c r="B13" s="153">
        <f>H13</f>
        <v>7.8573775697632006E-2</v>
      </c>
      <c r="C13" s="315" t="s">
        <v>238</v>
      </c>
      <c r="D13" s="558">
        <f>'Table 3.42-Vol Flows'!E8/'Table 3.42-Vol Flows'!M8</f>
        <v>0.49648759241496354</v>
      </c>
      <c r="E13" s="315" t="s">
        <v>239</v>
      </c>
      <c r="F13" s="153">
        <f>B13*D13</f>
        <v>3.9010904723070686E-2</v>
      </c>
      <c r="H13" s="153">
        <f>'Table 3.27-REC Detail ACS'!L49</f>
        <v>7.8573775697632006E-2</v>
      </c>
      <c r="I13" s="315" t="s">
        <v>238</v>
      </c>
      <c r="J13" s="558">
        <f>'Table 3.42-Vol Flows'!E8/'Table 3.42-Vol Flows'!K8</f>
        <v>0.5993725000000002</v>
      </c>
      <c r="K13" s="315" t="s">
        <v>239</v>
      </c>
      <c r="L13" s="153">
        <f>H13*J13</f>
        <v>4.7094960374328955E-2</v>
      </c>
      <c r="N13" s="153">
        <v>0</v>
      </c>
      <c r="O13" s="315"/>
      <c r="P13" s="558">
        <v>0</v>
      </c>
      <c r="Q13" s="315"/>
      <c r="R13" s="153">
        <f>N13*P13</f>
        <v>0</v>
      </c>
    </row>
    <row r="14" spans="1:18" x14ac:dyDescent="0.6">
      <c r="A14" s="474"/>
      <c r="B14" s="153"/>
      <c r="C14" s="315"/>
      <c r="D14" s="558"/>
      <c r="E14" s="315"/>
      <c r="F14" s="153"/>
      <c r="H14" s="153"/>
      <c r="I14" s="315"/>
      <c r="J14" s="558"/>
      <c r="K14" s="315"/>
      <c r="L14" s="153"/>
      <c r="N14" s="153"/>
      <c r="O14" s="315"/>
      <c r="P14" s="558"/>
      <c r="Q14" s="315"/>
      <c r="R14" s="153"/>
    </row>
    <row r="15" spans="1:18" x14ac:dyDescent="0.6">
      <c r="A15" s="257"/>
      <c r="B15" s="153"/>
      <c r="C15" s="153"/>
      <c r="D15" s="558"/>
      <c r="E15" s="272"/>
      <c r="F15" s="153">
        <f>SUM(F8:F13)</f>
        <v>0.13492887599257397</v>
      </c>
      <c r="H15" s="153"/>
      <c r="I15" s="153"/>
      <c r="J15" s="558"/>
      <c r="K15" s="272"/>
      <c r="L15" s="153">
        <f>SUM(L8:L13)</f>
        <v>5.4910980953100499E-2</v>
      </c>
      <c r="N15" s="153"/>
      <c r="O15" s="153"/>
      <c r="P15" s="558"/>
      <c r="Q15" s="272"/>
      <c r="R15" s="153">
        <f>SUM(R8:R13)</f>
        <v>0.52106803858476958</v>
      </c>
    </row>
    <row r="16" spans="1:18" x14ac:dyDescent="0.6">
      <c r="A16" s="423" t="s">
        <v>342</v>
      </c>
      <c r="B16" s="153"/>
      <c r="C16" s="153"/>
      <c r="D16" s="558"/>
      <c r="E16" s="272"/>
      <c r="F16" s="153"/>
      <c r="H16" s="153"/>
      <c r="I16" s="153"/>
      <c r="J16" s="558"/>
      <c r="K16" s="272"/>
      <c r="L16" s="153"/>
      <c r="N16" s="153"/>
      <c r="O16" s="153"/>
      <c r="P16" s="558"/>
      <c r="Q16" s="272"/>
      <c r="R16" s="153"/>
    </row>
    <row r="17" spans="1:27" x14ac:dyDescent="0.6">
      <c r="A17" s="415" t="s">
        <v>767</v>
      </c>
      <c r="B17" s="153">
        <f>N17</f>
        <v>0.36097350813258122</v>
      </c>
      <c r="C17" s="153"/>
      <c r="D17" s="558">
        <f>'Table 3.42-Vol Flows'!H15/'Table 3.42-Vol Flows'!M15</f>
        <v>9.7050903378766498E-2</v>
      </c>
      <c r="E17" s="272"/>
      <c r="F17" s="153">
        <f>B17*D17</f>
        <v>3.5032805060069526E-2</v>
      </c>
      <c r="H17" s="153">
        <f>IF(SUM('Table 3.18-Nixie UAA'!D17:D18)&lt;&gt;0,SUM('Table 3.18-Nixie UAA'!I17:I18)/SUM('Table 3.18-Nixie UAA'!D17:D18),0)</f>
        <v>0</v>
      </c>
      <c r="I17" s="315" t="s">
        <v>242</v>
      </c>
      <c r="J17" s="558">
        <v>1</v>
      </c>
      <c r="K17" s="272"/>
      <c r="L17" s="153">
        <f>H17*J17</f>
        <v>0</v>
      </c>
      <c r="N17" s="153">
        <f>IF(SUM('Table 3.18-Nixie UAA'!D26:D27)&lt;&gt;0,SUM('Table 3.18-Nixie UAA'!I26:I27)/SUM('Table 3.18-Nixie UAA'!D26:D27),0)</f>
        <v>0.36097350813258122</v>
      </c>
      <c r="O17" s="315" t="s">
        <v>242</v>
      </c>
      <c r="P17" s="558">
        <v>1</v>
      </c>
      <c r="Q17" s="272"/>
      <c r="R17" s="153">
        <f>N17*P17</f>
        <v>0.36097350813258122</v>
      </c>
    </row>
    <row r="18" spans="1:27" x14ac:dyDescent="0.6">
      <c r="A18" s="423"/>
      <c r="B18" s="153"/>
      <c r="C18" s="153"/>
      <c r="D18" s="558"/>
      <c r="E18" s="272"/>
      <c r="F18" s="153"/>
      <c r="H18" s="153"/>
      <c r="I18" s="153"/>
      <c r="J18" s="558"/>
      <c r="K18" s="272"/>
      <c r="L18" s="153"/>
      <c r="N18" s="153"/>
      <c r="O18" s="153"/>
      <c r="P18" s="558"/>
      <c r="Q18" s="272"/>
      <c r="R18" s="153"/>
    </row>
    <row r="19" spans="1:27" x14ac:dyDescent="0.6">
      <c r="A19" s="415" t="s">
        <v>470</v>
      </c>
      <c r="B19" s="153"/>
      <c r="C19" s="153"/>
      <c r="D19" s="558"/>
      <c r="E19" s="272"/>
      <c r="F19" s="153"/>
      <c r="H19" s="153"/>
      <c r="I19" s="153"/>
      <c r="J19" s="558"/>
      <c r="K19" s="272"/>
      <c r="L19" s="153"/>
      <c r="N19" s="153"/>
      <c r="O19" s="153"/>
      <c r="P19" s="558"/>
      <c r="Q19" s="272"/>
      <c r="R19" s="153"/>
    </row>
    <row r="20" spans="1:27" x14ac:dyDescent="0.6">
      <c r="A20" s="474" t="s">
        <v>130</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27" x14ac:dyDescent="0.6">
      <c r="A21" s="474" t="s">
        <v>471</v>
      </c>
      <c r="B21" s="153">
        <f>SUM('Table 3.19-CFS UAA'!J26,'Table 3.19-CFS UAA'!J57)/SUM('Table 3.19-CFS UAA'!B26,'Table 3.19-CFS UAA'!B57)</f>
        <v>0.41824805769860796</v>
      </c>
      <c r="C21" s="315" t="s">
        <v>236</v>
      </c>
      <c r="D21" s="558">
        <f>('Table 3.42-Vol Flows'!C15+'Table 3.42-Vol Flows'!H15)/('Table 3.42-Vol Flows'!M15)</f>
        <v>0.110595139828085</v>
      </c>
      <c r="E21" s="315" t="s">
        <v>239</v>
      </c>
      <c r="F21" s="153">
        <f>B21*D21</f>
        <v>4.625620242400251E-2</v>
      </c>
      <c r="H21" s="153">
        <f>'Table 3.19-CFS UAA'!K57</f>
        <v>0.41824805769860801</v>
      </c>
      <c r="I21" s="315" t="s">
        <v>236</v>
      </c>
      <c r="J21" s="558">
        <f>'Table 3.42-Vol Flows'!C15/'Table 3.42-Vol Flows'!K15</f>
        <v>1.4999999999999999E-2</v>
      </c>
      <c r="K21" s="315" t="s">
        <v>239</v>
      </c>
      <c r="L21" s="153">
        <f>H21*J21</f>
        <v>6.2737208654791198E-3</v>
      </c>
      <c r="N21" s="153">
        <f>'Table 3.19-CFS UAA'!K26</f>
        <v>0.41824805769860796</v>
      </c>
      <c r="O21" s="315" t="s">
        <v>236</v>
      </c>
      <c r="P21" s="558">
        <f>'Table 3.42-Vol Flows'!H15/'Table 3.42-Vol Flows'!L15</f>
        <v>1</v>
      </c>
      <c r="Q21" s="315" t="s">
        <v>239</v>
      </c>
      <c r="R21" s="153">
        <f>N21*P21</f>
        <v>0.41824805769860796</v>
      </c>
    </row>
    <row r="22" spans="1:27" x14ac:dyDescent="0.6">
      <c r="A22" s="415"/>
      <c r="B22" s="153"/>
      <c r="C22" s="315"/>
      <c r="D22" s="558"/>
      <c r="E22" s="315"/>
      <c r="F22" s="153"/>
      <c r="H22" s="153"/>
      <c r="I22" s="315"/>
      <c r="J22" s="558"/>
      <c r="K22" s="315"/>
      <c r="L22" s="153"/>
      <c r="N22" s="153"/>
      <c r="O22" s="315"/>
      <c r="P22" s="558"/>
      <c r="Q22" s="315"/>
      <c r="R22" s="153"/>
    </row>
    <row r="23" spans="1:27" x14ac:dyDescent="0.6">
      <c r="A23" s="415" t="s">
        <v>459</v>
      </c>
      <c r="B23" s="153"/>
      <c r="C23" s="315"/>
      <c r="D23" s="558"/>
      <c r="E23" s="315"/>
      <c r="F23" s="153"/>
      <c r="H23" s="153"/>
      <c r="I23" s="315"/>
      <c r="J23" s="558"/>
      <c r="K23" s="315"/>
      <c r="L23" s="153"/>
      <c r="N23" s="153"/>
      <c r="O23" s="315"/>
      <c r="P23" s="558"/>
      <c r="Q23" s="315"/>
      <c r="R23" s="153"/>
    </row>
    <row r="24" spans="1:27" x14ac:dyDescent="0.6">
      <c r="A24" s="474" t="s">
        <v>468</v>
      </c>
      <c r="B24" s="153">
        <f>H24</f>
        <v>0</v>
      </c>
      <c r="C24" s="315"/>
      <c r="D24" s="558">
        <f>'Table 3.42-Vol Flows'!D15/'Table 3.42-Vol Flows'!M15</f>
        <v>0.35520279295770985</v>
      </c>
      <c r="E24" s="315" t="s">
        <v>239</v>
      </c>
      <c r="F24" s="153">
        <f>B24*D24</f>
        <v>0</v>
      </c>
      <c r="H24" s="153">
        <v>0</v>
      </c>
      <c r="I24" s="315"/>
      <c r="J24" s="558">
        <f>'Table 3.42-Vol Flows'!D15/'Table 3.42-Vol Flows'!K15</f>
        <v>0.39338075012960483</v>
      </c>
      <c r="K24" s="315" t="s">
        <v>239</v>
      </c>
      <c r="L24" s="153">
        <f>H24*J24</f>
        <v>0</v>
      </c>
      <c r="N24" s="153">
        <v>0</v>
      </c>
      <c r="O24" s="315"/>
      <c r="P24" s="558">
        <v>0</v>
      </c>
      <c r="Q24" s="315"/>
      <c r="R24" s="153">
        <f>N24*P24</f>
        <v>0</v>
      </c>
    </row>
    <row r="25" spans="1:27" x14ac:dyDescent="0.6">
      <c r="A25" s="474" t="s">
        <v>469</v>
      </c>
      <c r="B25" s="153">
        <f>H25</f>
        <v>7.8573775697632006E-2</v>
      </c>
      <c r="C25" s="315" t="s">
        <v>238</v>
      </c>
      <c r="D25" s="558">
        <f>'Table 3.42-Vol Flows'!E15/'Table 3.42-Vol Flows'!M15</f>
        <v>0.53420206721420516</v>
      </c>
      <c r="E25" s="315" t="s">
        <v>239</v>
      </c>
      <c r="F25" s="153">
        <f>B25*D25</f>
        <v>4.1974273406500291E-2</v>
      </c>
      <c r="H25" s="153">
        <f>'Table 3.27-REC Detail ACS'!L50</f>
        <v>7.8573775697632006E-2</v>
      </c>
      <c r="I25" s="315" t="s">
        <v>238</v>
      </c>
      <c r="J25" s="558">
        <f>'Table 3.42-Vol Flows'!E15/'Table 3.42-Vol Flows'!K15</f>
        <v>0.59161924987039516</v>
      </c>
      <c r="K25" s="315" t="s">
        <v>239</v>
      </c>
      <c r="L25" s="153">
        <f>H25*J25</f>
        <v>4.6485758237717729E-2</v>
      </c>
      <c r="N25" s="153">
        <v>0</v>
      </c>
      <c r="O25" s="315"/>
      <c r="P25" s="558">
        <v>0</v>
      </c>
      <c r="Q25" s="315"/>
      <c r="R25" s="153">
        <f>N25*P25</f>
        <v>0</v>
      </c>
    </row>
    <row r="26" spans="1:27" x14ac:dyDescent="0.6">
      <c r="A26" s="474"/>
      <c r="B26" s="153"/>
      <c r="C26" s="315"/>
      <c r="D26" s="558"/>
      <c r="E26" s="315"/>
      <c r="F26" s="153"/>
      <c r="H26" s="153"/>
      <c r="I26" s="315"/>
      <c r="J26" s="558"/>
      <c r="K26" s="315"/>
      <c r="L26" s="153"/>
      <c r="N26" s="153"/>
      <c r="O26" s="315"/>
      <c r="P26" s="558"/>
      <c r="Q26" s="315"/>
      <c r="R26" s="153"/>
    </row>
    <row r="27" spans="1:27" x14ac:dyDescent="0.6">
      <c r="A27" s="273"/>
      <c r="B27" s="266"/>
      <c r="C27" s="266"/>
      <c r="D27" s="559"/>
      <c r="E27" s="274"/>
      <c r="F27" s="266">
        <f>SUM(F17:F25)</f>
        <v>0.12326328089057231</v>
      </c>
      <c r="H27" s="266"/>
      <c r="I27" s="266"/>
      <c r="J27" s="559"/>
      <c r="K27" s="274"/>
      <c r="L27" s="266">
        <f>SUM(L17:L25)</f>
        <v>5.2759479103196852E-2</v>
      </c>
      <c r="N27" s="266"/>
      <c r="O27" s="266"/>
      <c r="P27" s="559"/>
      <c r="Q27" s="274"/>
      <c r="R27" s="266">
        <f>SUM(R17:R25)</f>
        <v>0.77922156583118918</v>
      </c>
    </row>
    <row r="28" spans="1:27" x14ac:dyDescent="0.6">
      <c r="A28" s="151"/>
      <c r="B28" s="275"/>
      <c r="C28" s="275"/>
      <c r="D28" s="560"/>
      <c r="E28" s="276"/>
      <c r="F28" s="275"/>
      <c r="H28" s="275"/>
      <c r="I28" s="275"/>
      <c r="J28" s="560"/>
      <c r="K28" s="276"/>
      <c r="L28" s="275"/>
      <c r="N28" s="275"/>
      <c r="O28" s="275"/>
      <c r="P28" s="560"/>
      <c r="Q28" s="276"/>
      <c r="R28" s="275"/>
    </row>
    <row r="29" spans="1:27" x14ac:dyDescent="0.6">
      <c r="A29" s="270"/>
      <c r="B29" s="271"/>
      <c r="C29" s="271"/>
      <c r="D29" s="561" t="s">
        <v>131</v>
      </c>
      <c r="E29" s="277"/>
      <c r="F29" s="278" t="s">
        <v>211</v>
      </c>
      <c r="H29" s="271"/>
      <c r="I29" s="271"/>
      <c r="J29" s="561" t="s">
        <v>131</v>
      </c>
      <c r="K29" s="277"/>
      <c r="L29" s="278" t="s">
        <v>211</v>
      </c>
      <c r="N29" s="271"/>
      <c r="O29" s="271"/>
      <c r="P29" s="561" t="s">
        <v>131</v>
      </c>
      <c r="Q29" s="277"/>
      <c r="R29" s="278" t="s">
        <v>211</v>
      </c>
    </row>
    <row r="30" spans="1:27" x14ac:dyDescent="0.6">
      <c r="A30" s="257"/>
      <c r="B30" s="153"/>
      <c r="C30" s="153"/>
      <c r="D30" s="562" t="s">
        <v>103</v>
      </c>
      <c r="E30" s="279"/>
      <c r="F30" s="424" t="s">
        <v>104</v>
      </c>
      <c r="H30" s="153"/>
      <c r="I30" s="153"/>
      <c r="J30" s="562" t="s">
        <v>103</v>
      </c>
      <c r="K30" s="279"/>
      <c r="L30" s="424" t="s">
        <v>104</v>
      </c>
      <c r="N30" s="153"/>
      <c r="O30" s="153"/>
      <c r="P30" s="562" t="s">
        <v>103</v>
      </c>
      <c r="Q30" s="279"/>
      <c r="R30" s="424" t="s">
        <v>104</v>
      </c>
    </row>
    <row r="31" spans="1:27" x14ac:dyDescent="0.6">
      <c r="A31" s="322" t="s">
        <v>343</v>
      </c>
      <c r="B31" s="271">
        <f>F15</f>
        <v>0.13492887599257397</v>
      </c>
      <c r="C31" s="153"/>
      <c r="D31" s="558">
        <f>'Table 3.42-Vol Flows'!M8/SUM('Table 3.42-Vol Flows'!M8,'Table 3.42-Vol Flows'!M15)</f>
        <v>0.42335635220544349</v>
      </c>
      <c r="E31" s="315" t="s">
        <v>239</v>
      </c>
      <c r="F31" s="153">
        <f>B31*D31</f>
        <v>5.7122996747396751E-2</v>
      </c>
      <c r="H31" s="271">
        <f>L15</f>
        <v>5.4910980953100499E-2</v>
      </c>
      <c r="I31" s="153"/>
      <c r="J31" s="558">
        <f>'Table 3.42-Vol Flows'!K8/SUM('Table 3.42-Vol Flows'!K8,'Table 3.42-Vol Flows'!K15)</f>
        <v>0.4024550976638</v>
      </c>
      <c r="K31" s="315" t="s">
        <v>239</v>
      </c>
      <c r="L31" s="153">
        <f>H31*J31</f>
        <v>2.2099204202295122E-2</v>
      </c>
      <c r="N31" s="271">
        <f>R15</f>
        <v>0.52106803858476958</v>
      </c>
      <c r="O31" s="153"/>
      <c r="P31" s="558">
        <f>'Table 3.42-Vol Flows'!L8/SUM('Table 3.42-Vol Flows'!L8,'Table 3.42-Vol Flows'!L15)</f>
        <v>0.56494038176767569</v>
      </c>
      <c r="Q31" s="315" t="s">
        <v>239</v>
      </c>
      <c r="R31" s="153">
        <f>N31*P31</f>
        <v>0.2943723766450137</v>
      </c>
    </row>
    <row r="32" spans="1:27" x14ac:dyDescent="0.6">
      <c r="A32" s="321" t="s">
        <v>108</v>
      </c>
      <c r="B32" s="153">
        <f>F27</f>
        <v>0.12326328089057231</v>
      </c>
      <c r="C32" s="153"/>
      <c r="D32" s="558">
        <f>'Table 3.42-Vol Flows'!M15/SUM('Table 3.42-Vol Flows'!M8,'Table 3.42-Vol Flows'!M15)</f>
        <v>0.57664364779455657</v>
      </c>
      <c r="E32" s="315" t="s">
        <v>239</v>
      </c>
      <c r="F32" s="153">
        <f>B32*D32</f>
        <v>7.1078987931864679E-2</v>
      </c>
      <c r="H32" s="153">
        <f>L27</f>
        <v>5.2759479103196852E-2</v>
      </c>
      <c r="I32" s="153"/>
      <c r="J32" s="558">
        <f>'Table 3.42-Vol Flows'!K15/SUM('Table 3.42-Vol Flows'!K8,'Table 3.42-Vol Flows'!K15)</f>
        <v>0.59754490233620006</v>
      </c>
      <c r="K32" s="315" t="s">
        <v>239</v>
      </c>
      <c r="L32" s="153">
        <f>H32*J32</f>
        <v>3.1526157788028551E-2</v>
      </c>
      <c r="N32" s="153">
        <f>R27</f>
        <v>0.77922156583118918</v>
      </c>
      <c r="O32" s="153"/>
      <c r="P32" s="558">
        <f>'Table 3.42-Vol Flows'!L15/SUM('Table 3.42-Vol Flows'!L8,'Table 3.42-Vol Flows'!L15)</f>
        <v>0.43505961823232431</v>
      </c>
      <c r="Q32" s="315" t="s">
        <v>239</v>
      </c>
      <c r="R32" s="153">
        <f>N32*P32</f>
        <v>0.33900783694891112</v>
      </c>
    </row>
    <row r="33" spans="1:18" x14ac:dyDescent="0.6">
      <c r="A33" s="257"/>
      <c r="B33" s="153"/>
      <c r="C33" s="153"/>
      <c r="D33" s="280"/>
      <c r="E33" s="280"/>
      <c r="F33" s="153"/>
      <c r="H33" s="153"/>
      <c r="I33" s="153"/>
      <c r="J33" s="558"/>
      <c r="K33" s="280"/>
      <c r="L33" s="153"/>
      <c r="N33" s="153"/>
      <c r="O33" s="153"/>
      <c r="P33" s="558"/>
      <c r="Q33" s="280"/>
      <c r="R33" s="153"/>
    </row>
    <row r="34" spans="1:18" x14ac:dyDescent="0.6">
      <c r="A34" s="265" t="s">
        <v>132</v>
      </c>
      <c r="B34" s="266"/>
      <c r="C34" s="266"/>
      <c r="D34" s="559">
        <f>D31+D32</f>
        <v>1</v>
      </c>
      <c r="E34" s="281"/>
      <c r="F34" s="268">
        <f>F31+F32</f>
        <v>0.12820198467926142</v>
      </c>
      <c r="G34" s="120"/>
      <c r="H34" s="266"/>
      <c r="I34" s="266"/>
      <c r="J34" s="559">
        <f>J31+J32</f>
        <v>1</v>
      </c>
      <c r="K34" s="281"/>
      <c r="L34" s="268">
        <f>L31+L32</f>
        <v>5.3625361990323674E-2</v>
      </c>
      <c r="N34" s="266"/>
      <c r="O34" s="266"/>
      <c r="P34" s="559">
        <f>P31+P32</f>
        <v>1</v>
      </c>
      <c r="Q34" s="281"/>
      <c r="R34" s="268">
        <f>R31+R32</f>
        <v>0.63338021359392482</v>
      </c>
    </row>
    <row r="35" spans="1:18" hidden="1" x14ac:dyDescent="0.6"/>
    <row r="36" spans="1:18" hidden="1" x14ac:dyDescent="0.6">
      <c r="A36" s="14" t="s">
        <v>188</v>
      </c>
      <c r="B36" s="143">
        <f>B9-H9</f>
        <v>0</v>
      </c>
      <c r="D36" s="143">
        <f>SUM(D8:D13)-1</f>
        <v>0</v>
      </c>
      <c r="F36" s="143">
        <f>F15-'Table 3.1-UAA Summary'!M50</f>
        <v>0</v>
      </c>
      <c r="H36" s="143">
        <f>H9-N9</f>
        <v>0</v>
      </c>
      <c r="J36" s="143">
        <f>SUM(J8:J13)-1</f>
        <v>0</v>
      </c>
      <c r="P36" s="143">
        <f>SUM(P8:P13)-1</f>
        <v>0</v>
      </c>
    </row>
    <row r="37" spans="1:18" hidden="1" x14ac:dyDescent="0.6">
      <c r="B37" s="143">
        <f>B21-H21</f>
        <v>0</v>
      </c>
      <c r="D37" s="143">
        <f>SUM(D20:D25)-1</f>
        <v>0</v>
      </c>
      <c r="E37" s="14"/>
      <c r="F37" s="143">
        <f>F27-SUM('Table 3.1-UAA Summary'!K51:K52)/SUM('Table 3.1-UAA Summary'!L51:L51)</f>
        <v>0</v>
      </c>
      <c r="H37" s="143">
        <f>H21-N21</f>
        <v>0</v>
      </c>
      <c r="J37" s="143">
        <f>SUM(J20:J25)-1</f>
        <v>0</v>
      </c>
      <c r="P37" s="143">
        <f>SUM(P20:P25)-1</f>
        <v>0</v>
      </c>
    </row>
    <row r="38" spans="1:18" hidden="1" x14ac:dyDescent="0.6">
      <c r="B38" s="240"/>
      <c r="C38" s="27"/>
      <c r="D38" s="240"/>
      <c r="E38" s="547"/>
      <c r="F38" s="143">
        <f>F34-'Table 3.1-UAA Summary'!M53</f>
        <v>0</v>
      </c>
      <c r="G38" s="27"/>
      <c r="H38" s="240"/>
      <c r="I38" s="27"/>
      <c r="J38" s="240"/>
      <c r="K38" s="27"/>
      <c r="L38" s="143">
        <f>L34-'Table 3.1-UAA Summary'!G53</f>
        <v>0</v>
      </c>
      <c r="M38" s="27"/>
      <c r="N38" s="27"/>
      <c r="O38" s="27"/>
      <c r="P38" s="240"/>
      <c r="R38" s="143">
        <f>R34-'Table 3.1-UAA Summary'!J53</f>
        <v>0</v>
      </c>
    </row>
    <row r="39" spans="1:18" x14ac:dyDescent="0.6">
      <c r="A39" s="283"/>
      <c r="B39" s="283"/>
      <c r="C39" s="283"/>
      <c r="D39" s="283"/>
    </row>
    <row r="40" spans="1:18" x14ac:dyDescent="0.6">
      <c r="A40" t="s">
        <v>235</v>
      </c>
      <c r="B40" s="234"/>
      <c r="C40" s="234"/>
    </row>
    <row r="41" spans="1:18" x14ac:dyDescent="0.6">
      <c r="A41" s="12" t="s">
        <v>92</v>
      </c>
    </row>
    <row r="42" spans="1:18" x14ac:dyDescent="0.6">
      <c r="A42" s="12" t="s">
        <v>36</v>
      </c>
    </row>
    <row r="43" spans="1:18" x14ac:dyDescent="0.6">
      <c r="A43" s="12" t="s">
        <v>708</v>
      </c>
    </row>
    <row r="44" spans="1:18" x14ac:dyDescent="0.6">
      <c r="A44" s="12" t="s">
        <v>474</v>
      </c>
    </row>
    <row r="45" spans="1:18" x14ac:dyDescent="0.6">
      <c r="A45" s="12" t="s">
        <v>671</v>
      </c>
    </row>
    <row r="46" spans="1:18" x14ac:dyDescent="0.6">
      <c r="A46" s="12" t="s">
        <v>638</v>
      </c>
    </row>
  </sheetData>
  <phoneticPr fontId="0" type="noConversion"/>
  <printOptions horizontalCentered="1"/>
  <pageMargins left="0.75" right="0.75" top="1" bottom="1" header="0.5" footer="0.5"/>
  <pageSetup scale="81" orientation="landscape" r:id="rId1"/>
  <headerFooter alignWithMargins="0">
    <oddFooter>&amp;L&amp;F</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2">
    <pageSetUpPr fitToPage="1"/>
  </sheetPr>
  <dimension ref="A1:AA46"/>
  <sheetViews>
    <sheetView zoomScale="70" workbookViewId="0"/>
  </sheetViews>
  <sheetFormatPr defaultRowHeight="13" x14ac:dyDescent="0.6"/>
  <cols>
    <col min="1" max="1" width="31.08984375" customWidth="1"/>
    <col min="2" max="2" width="10.6796875" customWidth="1"/>
    <col min="3" max="3" width="2.6796875" customWidth="1"/>
    <col min="4" max="4" width="10.08984375" customWidth="1"/>
    <col min="5" max="5" width="2.6796875" customWidth="1"/>
    <col min="6" max="6" width="12.54296875" customWidth="1"/>
    <col min="7" max="7" width="2.6796875" customWidth="1"/>
    <col min="8" max="8" width="10.6796875" customWidth="1"/>
    <col min="9" max="9" width="2.6796875" customWidth="1"/>
    <col min="10" max="10" width="10.08984375" customWidth="1"/>
    <col min="11" max="11" width="2.6796875" customWidth="1"/>
    <col min="12" max="12" width="12.54296875" customWidth="1"/>
    <col min="13" max="13" width="2.6796875" customWidth="1"/>
    <col min="14" max="14" width="10.6796875" customWidth="1"/>
    <col min="15" max="15" width="2.6796875" customWidth="1"/>
    <col min="16" max="16" width="10.08984375" customWidth="1"/>
    <col min="17" max="17" width="2.6796875" customWidth="1"/>
    <col min="18" max="18" width="12.54296875" customWidth="1"/>
  </cols>
  <sheetData>
    <row r="1" spans="1:18" ht="15.5" x14ac:dyDescent="0.7">
      <c r="A1" s="158" t="s">
        <v>773</v>
      </c>
      <c r="B1" s="320"/>
      <c r="C1" s="320"/>
      <c r="D1" s="320"/>
      <c r="E1" s="320"/>
      <c r="F1" s="320"/>
    </row>
    <row r="2" spans="1:18" ht="16.25" thickBot="1" x14ac:dyDescent="0.85">
      <c r="A2" s="158" t="s">
        <v>787</v>
      </c>
      <c r="B2" s="320"/>
      <c r="C2" s="320"/>
      <c r="D2" s="320"/>
      <c r="E2" s="320"/>
      <c r="F2" s="320"/>
    </row>
    <row r="3" spans="1:18" ht="13.75" thickBot="1" x14ac:dyDescent="0.75">
      <c r="A3" s="17"/>
      <c r="B3" s="418" t="s">
        <v>270</v>
      </c>
      <c r="C3" s="419"/>
      <c r="D3" s="419"/>
      <c r="E3" s="420"/>
      <c r="F3" s="421"/>
      <c r="H3" s="418" t="s">
        <v>147</v>
      </c>
      <c r="I3" s="419"/>
      <c r="J3" s="419"/>
      <c r="K3" s="420"/>
      <c r="L3" s="421"/>
      <c r="N3" s="418" t="s">
        <v>344</v>
      </c>
      <c r="O3" s="419"/>
      <c r="P3" s="419"/>
      <c r="Q3" s="420"/>
      <c r="R3" s="421"/>
    </row>
    <row r="4" spans="1:18" x14ac:dyDescent="0.6">
      <c r="B4" s="416" t="s">
        <v>128</v>
      </c>
      <c r="C4" s="23"/>
      <c r="D4" s="4"/>
      <c r="E4" s="4"/>
      <c r="F4" s="417" t="s">
        <v>117</v>
      </c>
      <c r="H4" s="416" t="s">
        <v>128</v>
      </c>
      <c r="I4" s="23"/>
      <c r="J4" s="4"/>
      <c r="K4" s="4"/>
      <c r="L4" s="417" t="s">
        <v>117</v>
      </c>
      <c r="N4" s="416" t="s">
        <v>128</v>
      </c>
      <c r="O4" s="23"/>
      <c r="P4" s="4"/>
      <c r="Q4" s="4"/>
      <c r="R4" s="417" t="s">
        <v>117</v>
      </c>
    </row>
    <row r="5" spans="1:18" x14ac:dyDescent="0.6">
      <c r="B5" s="229" t="s">
        <v>104</v>
      </c>
      <c r="C5" s="319"/>
      <c r="D5" s="156" t="s">
        <v>97</v>
      </c>
      <c r="E5" s="156"/>
      <c r="F5" s="231" t="s">
        <v>104</v>
      </c>
      <c r="H5" s="229" t="s">
        <v>104</v>
      </c>
      <c r="I5" s="319"/>
      <c r="J5" s="156" t="s">
        <v>97</v>
      </c>
      <c r="K5" s="156"/>
      <c r="L5" s="231" t="s">
        <v>104</v>
      </c>
      <c r="N5" s="229" t="s">
        <v>104</v>
      </c>
      <c r="O5" s="319"/>
      <c r="P5" s="156" t="s">
        <v>97</v>
      </c>
      <c r="Q5" s="156"/>
      <c r="R5" s="231" t="s">
        <v>104</v>
      </c>
    </row>
    <row r="6" spans="1:18" x14ac:dyDescent="0.6">
      <c r="A6" s="422" t="s">
        <v>129</v>
      </c>
      <c r="B6" s="269"/>
      <c r="C6" s="269"/>
      <c r="D6" s="270"/>
      <c r="E6" s="270"/>
      <c r="F6" s="271"/>
      <c r="H6" s="269"/>
      <c r="I6" s="269"/>
      <c r="J6" s="270"/>
      <c r="K6" s="270"/>
      <c r="L6" s="271"/>
      <c r="N6" s="269"/>
      <c r="O6" s="269"/>
      <c r="P6" s="270"/>
      <c r="Q6" s="270"/>
      <c r="R6" s="271"/>
    </row>
    <row r="7" spans="1:18" x14ac:dyDescent="0.6">
      <c r="A7" s="415" t="s">
        <v>470</v>
      </c>
      <c r="B7" s="478"/>
      <c r="C7" s="478"/>
      <c r="D7" s="257"/>
      <c r="E7" s="257"/>
      <c r="F7" s="153"/>
      <c r="H7" s="478"/>
      <c r="I7" s="478"/>
      <c r="J7" s="257"/>
      <c r="K7" s="257"/>
      <c r="L7" s="153"/>
      <c r="N7" s="478"/>
      <c r="O7" s="478"/>
      <c r="P7" s="257"/>
      <c r="Q7" s="257"/>
      <c r="R7" s="153"/>
    </row>
    <row r="8" spans="1:18" x14ac:dyDescent="0.6">
      <c r="A8" s="479" t="s">
        <v>472</v>
      </c>
      <c r="B8" s="153">
        <v>0</v>
      </c>
      <c r="C8" s="315"/>
      <c r="D8" s="558">
        <v>0</v>
      </c>
      <c r="E8" s="315"/>
      <c r="F8" s="153">
        <f>B8*D8</f>
        <v>0</v>
      </c>
      <c r="H8" s="153">
        <v>0</v>
      </c>
      <c r="I8" s="315"/>
      <c r="J8" s="558">
        <v>0</v>
      </c>
      <c r="K8" s="315"/>
      <c r="L8" s="153">
        <f>H8*J8</f>
        <v>0</v>
      </c>
      <c r="N8" s="153">
        <v>0</v>
      </c>
      <c r="O8" s="315"/>
      <c r="P8" s="558">
        <v>0</v>
      </c>
      <c r="Q8" s="315"/>
      <c r="R8" s="153">
        <f>N8*P8</f>
        <v>0</v>
      </c>
    </row>
    <row r="9" spans="1:18" x14ac:dyDescent="0.6">
      <c r="A9" s="479" t="s">
        <v>473</v>
      </c>
      <c r="B9" s="153">
        <f>SUM('Table 3.19-CFS UAA'!J44,'Table 3.19-CFS UAA'!J13)/SUM('Table 3.19-CFS UAA'!B44,'Table 3.19-CFS UAA'!B13)</f>
        <v>0.52106803858476958</v>
      </c>
      <c r="C9" s="315" t="s">
        <v>236</v>
      </c>
      <c r="D9" s="558">
        <f>('Table 3.42-Vol Flows'!C8+'Table 3.42-Vol Flows'!H8)/('Table 3.42-Vol Flows'!M8)</f>
        <v>0.18407955231723344</v>
      </c>
      <c r="E9" s="315" t="s">
        <v>239</v>
      </c>
      <c r="F9" s="153">
        <f>B9*D9</f>
        <v>9.5917971269503299E-2</v>
      </c>
      <c r="H9" s="153">
        <f>'Table 3.19-CFS UAA'!K44</f>
        <v>0.52106803858476947</v>
      </c>
      <c r="I9" s="315" t="s">
        <v>236</v>
      </c>
      <c r="J9" s="558">
        <f>'Table 3.42-Vol Flows'!C8/'Table 3.42-Vol Flows'!K8</f>
        <v>1.5000000000000001E-2</v>
      </c>
      <c r="K9" s="315" t="s">
        <v>239</v>
      </c>
      <c r="L9" s="153">
        <f>H9*J9</f>
        <v>7.8160205787715428E-3</v>
      </c>
      <c r="N9" s="153">
        <f>'Table 3.19-CFS UAA'!K13</f>
        <v>0.52106803858476958</v>
      </c>
      <c r="O9" s="315" t="s">
        <v>236</v>
      </c>
      <c r="P9" s="558">
        <f>'Table 3.42-Vol Flows'!H8/'Table 3.42-Vol Flows'!L8</f>
        <v>1</v>
      </c>
      <c r="Q9" s="315" t="s">
        <v>239</v>
      </c>
      <c r="R9" s="153">
        <f>N9*P9</f>
        <v>0.52106803858476958</v>
      </c>
    </row>
    <row r="10" spans="1:18" x14ac:dyDescent="0.6">
      <c r="A10" s="415"/>
      <c r="B10" s="153"/>
      <c r="C10" s="315"/>
      <c r="D10" s="558"/>
      <c r="E10" s="315"/>
      <c r="F10" s="153"/>
      <c r="H10" s="153"/>
      <c r="I10" s="315"/>
      <c r="J10" s="558"/>
      <c r="K10" s="315"/>
      <c r="L10" s="153"/>
      <c r="N10" s="153"/>
      <c r="O10" s="315"/>
      <c r="P10" s="558"/>
      <c r="Q10" s="315"/>
      <c r="R10" s="153"/>
    </row>
    <row r="11" spans="1:18" x14ac:dyDescent="0.6">
      <c r="A11" s="415" t="s">
        <v>459</v>
      </c>
      <c r="B11" s="153"/>
      <c r="C11" s="315"/>
      <c r="D11" s="558"/>
      <c r="E11" s="315"/>
      <c r="F11" s="153"/>
      <c r="H11" s="477"/>
      <c r="I11" s="315"/>
      <c r="J11" s="558"/>
      <c r="K11" s="315"/>
      <c r="L11" s="153"/>
      <c r="N11" s="153"/>
      <c r="O11" s="315"/>
      <c r="P11" s="558"/>
      <c r="Q11" s="315"/>
      <c r="R11" s="153"/>
    </row>
    <row r="12" spans="1:18" x14ac:dyDescent="0.6">
      <c r="A12" s="479" t="s">
        <v>475</v>
      </c>
      <c r="B12" s="153">
        <f>H12</f>
        <v>0</v>
      </c>
      <c r="C12" s="315"/>
      <c r="D12" s="558">
        <f>'Table 3.43-Elec Notice'!D12+'Table 3.43-Elec Notice'!D13</f>
        <v>0.81592044768276661</v>
      </c>
      <c r="E12" s="315" t="s">
        <v>239</v>
      </c>
      <c r="F12" s="153">
        <f>B12*D12</f>
        <v>0</v>
      </c>
      <c r="H12" s="153">
        <v>0</v>
      </c>
      <c r="I12" s="315"/>
      <c r="J12" s="558">
        <f>'Table 3.43-Elec Notice'!J12+'Table 3.43-Elec Notice'!J13</f>
        <v>0.98500000000000032</v>
      </c>
      <c r="K12" s="315" t="s">
        <v>239</v>
      </c>
      <c r="L12" s="153">
        <f>H12*J12</f>
        <v>0</v>
      </c>
      <c r="N12" s="153">
        <v>0</v>
      </c>
      <c r="O12" s="315"/>
      <c r="P12" s="558">
        <v>0</v>
      </c>
      <c r="Q12" s="315"/>
      <c r="R12" s="153">
        <f>N12*P12</f>
        <v>0</v>
      </c>
    </row>
    <row r="13" spans="1:18" x14ac:dyDescent="0.6">
      <c r="A13" s="474" t="s">
        <v>469</v>
      </c>
      <c r="B13" s="153">
        <f>H13</f>
        <v>7.8573775697632006E-2</v>
      </c>
      <c r="C13" s="315" t="s">
        <v>238</v>
      </c>
      <c r="D13" s="563">
        <v>0</v>
      </c>
      <c r="E13" s="315"/>
      <c r="F13" s="153">
        <f>B13*D13</f>
        <v>0</v>
      </c>
      <c r="H13" s="153">
        <f>'Table 3.27-REC Detail ACS'!L49</f>
        <v>7.8573775697632006E-2</v>
      </c>
      <c r="I13" s="315" t="s">
        <v>238</v>
      </c>
      <c r="J13" s="563">
        <v>0</v>
      </c>
      <c r="K13" s="315"/>
      <c r="L13" s="153">
        <f>H13*J13</f>
        <v>0</v>
      </c>
      <c r="N13" s="153">
        <v>0</v>
      </c>
      <c r="O13" s="315"/>
      <c r="P13" s="558">
        <v>0</v>
      </c>
      <c r="Q13" s="315"/>
      <c r="R13" s="153">
        <f>N13*P13</f>
        <v>0</v>
      </c>
    </row>
    <row r="14" spans="1:18" x14ac:dyDescent="0.6">
      <c r="A14" s="474"/>
      <c r="B14" s="153"/>
      <c r="C14" s="315"/>
      <c r="D14" s="558"/>
      <c r="E14" s="315"/>
      <c r="F14" s="153"/>
      <c r="H14" s="153"/>
      <c r="I14" s="315"/>
      <c r="J14" s="558"/>
      <c r="K14" s="315"/>
      <c r="L14" s="153"/>
      <c r="N14" s="153"/>
      <c r="O14" s="315"/>
      <c r="P14" s="558"/>
      <c r="Q14" s="315"/>
      <c r="R14" s="153"/>
    </row>
    <row r="15" spans="1:18" x14ac:dyDescent="0.6">
      <c r="A15" s="257"/>
      <c r="B15" s="153"/>
      <c r="C15" s="153"/>
      <c r="D15" s="558"/>
      <c r="E15" s="272"/>
      <c r="F15" s="153">
        <f>SUM(F8:F13)</f>
        <v>9.5917971269503299E-2</v>
      </c>
      <c r="H15" s="153"/>
      <c r="I15" s="153"/>
      <c r="J15" s="558"/>
      <c r="K15" s="272"/>
      <c r="L15" s="153">
        <f>SUM(L8:L13)</f>
        <v>7.8160205787715428E-3</v>
      </c>
      <c r="N15" s="153"/>
      <c r="O15" s="153"/>
      <c r="P15" s="558"/>
      <c r="Q15" s="272"/>
      <c r="R15" s="153">
        <f>SUM(R8:R13)</f>
        <v>0.52106803858476958</v>
      </c>
    </row>
    <row r="16" spans="1:18" x14ac:dyDescent="0.6">
      <c r="A16" s="423" t="s">
        <v>342</v>
      </c>
      <c r="B16" s="153"/>
      <c r="C16" s="153"/>
      <c r="D16" s="558"/>
      <c r="E16" s="272"/>
      <c r="F16" s="153"/>
      <c r="H16" s="153"/>
      <c r="I16" s="153"/>
      <c r="J16" s="558"/>
      <c r="K16" s="272"/>
      <c r="L16" s="153"/>
      <c r="N16" s="153"/>
      <c r="O16" s="153"/>
      <c r="P16" s="558"/>
      <c r="Q16" s="272"/>
      <c r="R16" s="153"/>
    </row>
    <row r="17" spans="1:27" x14ac:dyDescent="0.6">
      <c r="A17" s="415" t="s">
        <v>767</v>
      </c>
      <c r="B17" s="153">
        <f>N17</f>
        <v>0.36097350813258122</v>
      </c>
      <c r="C17" s="153"/>
      <c r="D17" s="558">
        <f>'Table 3.42-Vol Flows'!H15/'Table 3.42-Vol Flows'!M15</f>
        <v>9.7050903378766498E-2</v>
      </c>
      <c r="E17" s="272"/>
      <c r="F17" s="153">
        <f>B17*D17</f>
        <v>3.5032805060069526E-2</v>
      </c>
      <c r="H17" s="153">
        <f>IF(SUM('Table 3.18-Nixie UAA'!D17:D18)&lt;&gt;0,SUM('Table 3.18-Nixie UAA'!I17:I18)/SUM('Table 3.18-Nixie UAA'!D17:D18),0)</f>
        <v>0</v>
      </c>
      <c r="I17" s="315" t="s">
        <v>239</v>
      </c>
      <c r="J17" s="558">
        <v>1</v>
      </c>
      <c r="K17" s="272"/>
      <c r="L17" s="153">
        <f>H17*J17</f>
        <v>0</v>
      </c>
      <c r="N17" s="153">
        <f>IF(SUM('Table 3.18-Nixie UAA'!D26:D27)&lt;&gt;0,SUM('Table 3.18-Nixie UAA'!I26:I27)/SUM('Table 3.18-Nixie UAA'!D26:D27),0)</f>
        <v>0.36097350813258122</v>
      </c>
      <c r="O17" s="315" t="s">
        <v>242</v>
      </c>
      <c r="P17" s="558">
        <v>1</v>
      </c>
      <c r="Q17" s="272"/>
      <c r="R17" s="153">
        <f>N17*P17</f>
        <v>0.36097350813258122</v>
      </c>
    </row>
    <row r="18" spans="1:27" x14ac:dyDescent="0.6">
      <c r="A18" s="423"/>
      <c r="B18" s="153"/>
      <c r="C18" s="153"/>
      <c r="D18" s="558"/>
      <c r="E18" s="272"/>
      <c r="F18" s="153"/>
      <c r="H18" s="153"/>
      <c r="I18" s="153"/>
      <c r="J18" s="558"/>
      <c r="K18" s="272"/>
      <c r="L18" s="153"/>
      <c r="N18" s="153"/>
      <c r="O18" s="153"/>
      <c r="P18" s="558"/>
      <c r="Q18" s="272"/>
      <c r="R18" s="153"/>
    </row>
    <row r="19" spans="1:27" x14ac:dyDescent="0.6">
      <c r="A19" s="415" t="s">
        <v>470</v>
      </c>
      <c r="B19" s="153"/>
      <c r="C19" s="153"/>
      <c r="D19" s="558"/>
      <c r="E19" s="272"/>
      <c r="F19" s="153"/>
      <c r="H19" s="153"/>
      <c r="I19" s="153"/>
      <c r="J19" s="558"/>
      <c r="K19" s="272"/>
      <c r="L19" s="153"/>
      <c r="N19" s="153"/>
      <c r="O19" s="153"/>
      <c r="P19" s="558"/>
      <c r="Q19" s="272"/>
      <c r="R19" s="153"/>
    </row>
    <row r="20" spans="1:27" x14ac:dyDescent="0.6">
      <c r="A20" s="474" t="s">
        <v>130</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27" x14ac:dyDescent="0.6">
      <c r="A21" s="474" t="s">
        <v>471</v>
      </c>
      <c r="B21" s="153">
        <f>SUM('Table 3.19-CFS UAA'!J26,'Table 3.19-CFS UAA'!J57)/SUM('Table 3.19-CFS UAA'!B26,'Table 3.19-CFS UAA'!B57)</f>
        <v>0.41824805769860796</v>
      </c>
      <c r="C21" s="315" t="s">
        <v>236</v>
      </c>
      <c r="D21" s="558">
        <f>('Table 3.42-Vol Flows'!C15+'Table 3.42-Vol Flows'!H15)/('Table 3.42-Vol Flows'!M15)</f>
        <v>0.110595139828085</v>
      </c>
      <c r="E21" s="315" t="s">
        <v>239</v>
      </c>
      <c r="F21" s="153">
        <f>B21*D21</f>
        <v>4.625620242400251E-2</v>
      </c>
      <c r="H21" s="153">
        <f>'Table 3.19-CFS UAA'!K57</f>
        <v>0.41824805769860801</v>
      </c>
      <c r="I21" s="315" t="s">
        <v>236</v>
      </c>
      <c r="J21" s="558">
        <f>'Table 3.42-Vol Flows'!C15/'Table 3.42-Vol Flows'!K15</f>
        <v>1.4999999999999999E-2</v>
      </c>
      <c r="K21" s="315" t="s">
        <v>239</v>
      </c>
      <c r="L21" s="153">
        <f>H21*J21</f>
        <v>6.2737208654791198E-3</v>
      </c>
      <c r="N21" s="153">
        <f>'Table 3.19-CFS UAA'!K26</f>
        <v>0.41824805769860796</v>
      </c>
      <c r="O21" s="315" t="s">
        <v>236</v>
      </c>
      <c r="P21" s="558">
        <f>'Table 3.42-Vol Flows'!H15/'Table 3.42-Vol Flows'!L15</f>
        <v>1</v>
      </c>
      <c r="Q21" s="315" t="s">
        <v>239</v>
      </c>
      <c r="R21" s="153">
        <f>N21*P21</f>
        <v>0.41824805769860796</v>
      </c>
    </row>
    <row r="22" spans="1:27" x14ac:dyDescent="0.6">
      <c r="A22" s="415"/>
      <c r="B22" s="153"/>
      <c r="C22" s="315"/>
      <c r="D22" s="558"/>
      <c r="E22" s="315"/>
      <c r="F22" s="153"/>
      <c r="H22" s="153"/>
      <c r="I22" s="315"/>
      <c r="J22" s="558"/>
      <c r="K22" s="315"/>
      <c r="L22" s="153"/>
      <c r="N22" s="153"/>
      <c r="O22" s="315"/>
      <c r="P22" s="558"/>
      <c r="Q22" s="315"/>
      <c r="R22" s="153"/>
    </row>
    <row r="23" spans="1:27" x14ac:dyDescent="0.6">
      <c r="A23" s="415" t="s">
        <v>459</v>
      </c>
      <c r="B23" s="153"/>
      <c r="C23" s="315"/>
      <c r="D23" s="558"/>
      <c r="E23" s="315"/>
      <c r="F23" s="153"/>
      <c r="H23" s="153"/>
      <c r="I23" s="315"/>
      <c r="J23" s="558"/>
      <c r="K23" s="315"/>
      <c r="L23" s="153"/>
      <c r="N23" s="153"/>
      <c r="O23" s="315"/>
      <c r="P23" s="558"/>
      <c r="Q23" s="315"/>
      <c r="R23" s="153"/>
    </row>
    <row r="24" spans="1:27" x14ac:dyDescent="0.6">
      <c r="A24" s="474" t="s">
        <v>468</v>
      </c>
      <c r="B24" s="153">
        <f>H24</f>
        <v>0</v>
      </c>
      <c r="C24" s="315"/>
      <c r="D24" s="558">
        <f>'Table 3.43-Elec Notice'!D24+'Table 3.43-Elec Notice'!D25</f>
        <v>0.889404860171915</v>
      </c>
      <c r="E24" s="315" t="s">
        <v>239</v>
      </c>
      <c r="F24" s="153">
        <f>B24*D24</f>
        <v>0</v>
      </c>
      <c r="H24" s="153">
        <v>0</v>
      </c>
      <c r="I24" s="315"/>
      <c r="J24" s="558">
        <f>'Table 3.43-Elec Notice'!J24+'Table 3.43-Elec Notice'!J25</f>
        <v>0.98499999999999999</v>
      </c>
      <c r="K24" s="315" t="s">
        <v>239</v>
      </c>
      <c r="L24" s="153">
        <f>H24*J24</f>
        <v>0</v>
      </c>
      <c r="N24" s="153">
        <v>0</v>
      </c>
      <c r="O24" s="315"/>
      <c r="P24" s="558">
        <v>0</v>
      </c>
      <c r="Q24" s="315"/>
      <c r="R24" s="153">
        <f>N24*P24</f>
        <v>0</v>
      </c>
    </row>
    <row r="25" spans="1:27" x14ac:dyDescent="0.6">
      <c r="A25" s="474" t="s">
        <v>469</v>
      </c>
      <c r="B25" s="153">
        <f>H25</f>
        <v>7.8573775697632006E-2</v>
      </c>
      <c r="C25" s="315" t="s">
        <v>238</v>
      </c>
      <c r="D25" s="563">
        <v>0</v>
      </c>
      <c r="E25" s="315"/>
      <c r="F25" s="153">
        <f>B25*D25</f>
        <v>0</v>
      </c>
      <c r="H25" s="153">
        <f>'Table 3.27-REC Detail ACS'!L50</f>
        <v>7.8573775697632006E-2</v>
      </c>
      <c r="I25" s="315" t="s">
        <v>238</v>
      </c>
      <c r="J25" s="563">
        <v>0</v>
      </c>
      <c r="K25" s="315"/>
      <c r="L25" s="153">
        <f>H25*J25</f>
        <v>0</v>
      </c>
      <c r="N25" s="153">
        <v>0</v>
      </c>
      <c r="O25" s="315"/>
      <c r="P25" s="558">
        <v>0</v>
      </c>
      <c r="Q25" s="315"/>
      <c r="R25" s="153">
        <f>N25*P25</f>
        <v>0</v>
      </c>
    </row>
    <row r="26" spans="1:27" x14ac:dyDescent="0.6">
      <c r="A26" s="474"/>
      <c r="B26" s="153"/>
      <c r="C26" s="315"/>
      <c r="D26" s="558"/>
      <c r="E26" s="315"/>
      <c r="F26" s="153"/>
      <c r="H26" s="153"/>
      <c r="I26" s="315"/>
      <c r="J26" s="558"/>
      <c r="K26" s="315"/>
      <c r="L26" s="153"/>
      <c r="N26" s="153"/>
      <c r="O26" s="315"/>
      <c r="P26" s="558"/>
      <c r="Q26" s="315"/>
      <c r="R26" s="153"/>
    </row>
    <row r="27" spans="1:27" x14ac:dyDescent="0.6">
      <c r="A27" s="273"/>
      <c r="B27" s="266"/>
      <c r="C27" s="266"/>
      <c r="D27" s="559"/>
      <c r="E27" s="274"/>
      <c r="F27" s="266">
        <f>SUM(F17:F25)</f>
        <v>8.1289007484072029E-2</v>
      </c>
      <c r="H27" s="266"/>
      <c r="I27" s="266"/>
      <c r="J27" s="559"/>
      <c r="K27" s="274"/>
      <c r="L27" s="266">
        <f>SUM(L17:L25)</f>
        <v>6.2737208654791198E-3</v>
      </c>
      <c r="N27" s="266"/>
      <c r="O27" s="266"/>
      <c r="P27" s="559"/>
      <c r="Q27" s="274"/>
      <c r="R27" s="266">
        <f>SUM(R17:R25)</f>
        <v>0.77922156583118918</v>
      </c>
    </row>
    <row r="28" spans="1:27" x14ac:dyDescent="0.6">
      <c r="A28" s="151"/>
      <c r="B28" s="275"/>
      <c r="C28" s="275"/>
      <c r="D28" s="560"/>
      <c r="E28" s="276"/>
      <c r="F28" s="275"/>
      <c r="H28" s="275"/>
      <c r="I28" s="275"/>
      <c r="J28" s="560"/>
      <c r="K28" s="276"/>
      <c r="L28" s="275"/>
      <c r="N28" s="275"/>
      <c r="O28" s="275"/>
      <c r="P28" s="560"/>
      <c r="Q28" s="276"/>
      <c r="R28" s="275"/>
    </row>
    <row r="29" spans="1:27" x14ac:dyDescent="0.6">
      <c r="A29" s="270"/>
      <c r="B29" s="271"/>
      <c r="C29" s="271"/>
      <c r="D29" s="561" t="s">
        <v>131</v>
      </c>
      <c r="E29" s="277"/>
      <c r="F29" s="278" t="s">
        <v>211</v>
      </c>
      <c r="H29" s="271"/>
      <c r="I29" s="271"/>
      <c r="J29" s="561" t="s">
        <v>131</v>
      </c>
      <c r="K29" s="277"/>
      <c r="L29" s="278" t="s">
        <v>211</v>
      </c>
      <c r="N29" s="271"/>
      <c r="O29" s="271"/>
      <c r="P29" s="561" t="s">
        <v>131</v>
      </c>
      <c r="Q29" s="277"/>
      <c r="R29" s="278" t="s">
        <v>211</v>
      </c>
    </row>
    <row r="30" spans="1:27" x14ac:dyDescent="0.6">
      <c r="A30" s="257"/>
      <c r="B30" s="153"/>
      <c r="C30" s="153"/>
      <c r="D30" s="562" t="s">
        <v>103</v>
      </c>
      <c r="E30" s="279"/>
      <c r="F30" s="424" t="s">
        <v>104</v>
      </c>
      <c r="H30" s="153"/>
      <c r="I30" s="153"/>
      <c r="J30" s="562" t="s">
        <v>103</v>
      </c>
      <c r="K30" s="279"/>
      <c r="L30" s="424" t="s">
        <v>104</v>
      </c>
      <c r="N30" s="153"/>
      <c r="O30" s="153"/>
      <c r="P30" s="562" t="s">
        <v>103</v>
      </c>
      <c r="Q30" s="279"/>
      <c r="R30" s="424" t="s">
        <v>104</v>
      </c>
    </row>
    <row r="31" spans="1:27" x14ac:dyDescent="0.6">
      <c r="A31" s="322" t="s">
        <v>343</v>
      </c>
      <c r="B31" s="271">
        <f>F15</f>
        <v>9.5917971269503299E-2</v>
      </c>
      <c r="C31" s="153"/>
      <c r="D31" s="558">
        <f>'Table 3.42-Vol Flows'!M8/SUM('Table 3.42-Vol Flows'!M8,'Table 3.42-Vol Flows'!M15)</f>
        <v>0.42335635220544349</v>
      </c>
      <c r="E31" s="315" t="s">
        <v>239</v>
      </c>
      <c r="F31" s="153">
        <f>B31*D31</f>
        <v>4.0607482427603446E-2</v>
      </c>
      <c r="H31" s="271">
        <f>L15</f>
        <v>7.8160205787715428E-3</v>
      </c>
      <c r="I31" s="153"/>
      <c r="J31" s="558">
        <f>'Table 3.42-Vol Flows'!K8/SUM('Table 3.42-Vol Flows'!K8,'Table 3.42-Vol Flows'!K15)</f>
        <v>0.4024550976638</v>
      </c>
      <c r="K31" s="315" t="s">
        <v>239</v>
      </c>
      <c r="L31" s="153">
        <f>H31*J31</f>
        <v>3.145597325371772E-3</v>
      </c>
      <c r="N31" s="271">
        <f>R15</f>
        <v>0.52106803858476958</v>
      </c>
      <c r="O31" s="153"/>
      <c r="P31" s="558">
        <f>'Table 3.42-Vol Flows'!L8/SUM('Table 3.42-Vol Flows'!L8,'Table 3.42-Vol Flows'!L15)</f>
        <v>0.56494038176767569</v>
      </c>
      <c r="Q31" s="315" t="s">
        <v>239</v>
      </c>
      <c r="R31" s="153">
        <f>N31*P31</f>
        <v>0.2943723766450137</v>
      </c>
    </row>
    <row r="32" spans="1:27" x14ac:dyDescent="0.6">
      <c r="A32" s="321" t="s">
        <v>108</v>
      </c>
      <c r="B32" s="153">
        <f>F27</f>
        <v>8.1289007484072029E-2</v>
      </c>
      <c r="C32" s="153"/>
      <c r="D32" s="558">
        <f>'Table 3.42-Vol Flows'!M15/SUM('Table 3.42-Vol Flows'!M8,'Table 3.42-Vol Flows'!M15)</f>
        <v>0.57664364779455657</v>
      </c>
      <c r="E32" s="315" t="s">
        <v>239</v>
      </c>
      <c r="F32" s="153">
        <f>B32*D32</f>
        <v>4.6874789801214303E-2</v>
      </c>
      <c r="H32" s="153">
        <f>L27</f>
        <v>6.2737208654791198E-3</v>
      </c>
      <c r="I32" s="153"/>
      <c r="J32" s="558">
        <f>'Table 3.42-Vol Flows'!K15/SUM('Table 3.42-Vol Flows'!K8,'Table 3.42-Vol Flows'!K15)</f>
        <v>0.59754490233620006</v>
      </c>
      <c r="K32" s="315" t="s">
        <v>239</v>
      </c>
      <c r="L32" s="153">
        <f>H32*J32</f>
        <v>3.7488299218473011E-3</v>
      </c>
      <c r="N32" s="153">
        <f>R27</f>
        <v>0.77922156583118918</v>
      </c>
      <c r="O32" s="153"/>
      <c r="P32" s="558">
        <f>'Table 3.42-Vol Flows'!L15/SUM('Table 3.42-Vol Flows'!L8,'Table 3.42-Vol Flows'!L15)</f>
        <v>0.43505961823232431</v>
      </c>
      <c r="Q32" s="315" t="s">
        <v>239</v>
      </c>
      <c r="R32" s="153">
        <f>N32*P32</f>
        <v>0.33900783694891112</v>
      </c>
    </row>
    <row r="33" spans="1:21" x14ac:dyDescent="0.6">
      <c r="A33" s="257"/>
      <c r="B33" s="153"/>
      <c r="C33" s="153"/>
      <c r="D33" s="280"/>
      <c r="E33" s="280"/>
      <c r="F33" s="153"/>
      <c r="H33" s="153"/>
      <c r="I33" s="153"/>
      <c r="J33" s="558"/>
      <c r="K33" s="280"/>
      <c r="L33" s="153"/>
      <c r="N33" s="153"/>
      <c r="O33" s="153"/>
      <c r="P33" s="558"/>
      <c r="Q33" s="280"/>
      <c r="R33" s="153"/>
    </row>
    <row r="34" spans="1:21" x14ac:dyDescent="0.6">
      <c r="A34" s="265" t="s">
        <v>132</v>
      </c>
      <c r="B34" s="266"/>
      <c r="C34" s="266"/>
      <c r="D34" s="559">
        <f>D31+D32</f>
        <v>1</v>
      </c>
      <c r="E34" s="281"/>
      <c r="F34" s="268">
        <f>F31+F32</f>
        <v>8.7482272228817742E-2</v>
      </c>
      <c r="G34" s="120"/>
      <c r="H34" s="266"/>
      <c r="I34" s="266"/>
      <c r="J34" s="559">
        <f>J31+J32</f>
        <v>1</v>
      </c>
      <c r="K34" s="281"/>
      <c r="L34" s="268">
        <f>L31+L32</f>
        <v>6.8944272472190732E-3</v>
      </c>
      <c r="N34" s="266"/>
      <c r="O34" s="266"/>
      <c r="P34" s="559">
        <f>P31+P32</f>
        <v>1</v>
      </c>
      <c r="Q34" s="281"/>
      <c r="R34" s="268">
        <f>R31+R32</f>
        <v>0.63338021359392482</v>
      </c>
    </row>
    <row r="35" spans="1:21" hidden="1" x14ac:dyDescent="0.6"/>
    <row r="36" spans="1:21" hidden="1" x14ac:dyDescent="0.6">
      <c r="A36" s="14" t="s">
        <v>188</v>
      </c>
      <c r="B36" s="143">
        <f>B9-H9</f>
        <v>0</v>
      </c>
      <c r="D36" s="143">
        <f>SUM(D8:D13)-1</f>
        <v>0</v>
      </c>
      <c r="F36" s="240"/>
      <c r="H36" s="143">
        <f>H9-N9</f>
        <v>0</v>
      </c>
      <c r="J36" s="143">
        <f>SUM(J8:J13)-1</f>
        <v>0</v>
      </c>
      <c r="P36" s="143">
        <f>SUM(P8:P13)-1</f>
        <v>0</v>
      </c>
      <c r="Q36" s="27"/>
      <c r="R36" s="27"/>
    </row>
    <row r="37" spans="1:21" hidden="1" x14ac:dyDescent="0.6">
      <c r="B37" s="143">
        <f>B21-H21</f>
        <v>0</v>
      </c>
      <c r="D37" s="143">
        <f>SUM(D20:D25)-1</f>
        <v>0</v>
      </c>
      <c r="E37" s="14"/>
      <c r="F37" s="240"/>
      <c r="H37" s="143">
        <f>H21-N21</f>
        <v>0</v>
      </c>
      <c r="J37" s="143">
        <f>SUM(J20:J25)-1</f>
        <v>0</v>
      </c>
      <c r="P37" s="143">
        <f>SUM(P20:P25)-1</f>
        <v>0</v>
      </c>
      <c r="Q37" s="27"/>
      <c r="R37" s="27"/>
    </row>
    <row r="38" spans="1:21" hidden="1" x14ac:dyDescent="0.6">
      <c r="B38" s="240"/>
      <c r="C38" s="27"/>
      <c r="D38" s="240"/>
      <c r="E38" s="547"/>
      <c r="F38" s="240"/>
      <c r="G38" s="27"/>
      <c r="H38" s="240"/>
      <c r="I38" s="27"/>
      <c r="J38" s="240"/>
      <c r="K38" s="27"/>
      <c r="L38" s="240"/>
      <c r="M38" s="27"/>
      <c r="N38" s="27"/>
      <c r="O38" s="27"/>
      <c r="P38" s="240"/>
      <c r="Q38" s="27"/>
      <c r="R38" s="240"/>
    </row>
    <row r="39" spans="1:21" x14ac:dyDescent="0.6">
      <c r="A39" s="283"/>
      <c r="B39" s="283"/>
      <c r="C39" s="283"/>
      <c r="D39" s="283"/>
    </row>
    <row r="40" spans="1:21" x14ac:dyDescent="0.6">
      <c r="A40" t="s">
        <v>235</v>
      </c>
      <c r="B40" s="234"/>
      <c r="C40" s="234"/>
    </row>
    <row r="41" spans="1:21" x14ac:dyDescent="0.6">
      <c r="A41" s="12" t="s">
        <v>92</v>
      </c>
      <c r="L41" s="27"/>
      <c r="M41" s="27"/>
      <c r="N41" s="27"/>
      <c r="O41" s="27"/>
      <c r="P41" s="27"/>
      <c r="Q41" s="27"/>
      <c r="R41" s="27"/>
      <c r="S41" s="27"/>
      <c r="T41" s="27"/>
      <c r="U41" s="27"/>
    </row>
    <row r="42" spans="1:21" x14ac:dyDescent="0.6">
      <c r="A42" s="12" t="s">
        <v>36</v>
      </c>
    </row>
    <row r="43" spans="1:21" x14ac:dyDescent="0.6">
      <c r="A43" s="12" t="s">
        <v>23</v>
      </c>
    </row>
    <row r="44" spans="1:21" x14ac:dyDescent="0.6">
      <c r="A44" s="12" t="s">
        <v>474</v>
      </c>
    </row>
    <row r="45" spans="1:21" x14ac:dyDescent="0.6">
      <c r="A45" s="12" t="s">
        <v>671</v>
      </c>
    </row>
    <row r="46" spans="1:21" x14ac:dyDescent="0.6">
      <c r="A46" s="12" t="s">
        <v>9</v>
      </c>
    </row>
  </sheetData>
  <phoneticPr fontId="0" type="noConversion"/>
  <printOptions horizontalCentered="1"/>
  <pageMargins left="0.75" right="0.75" top="1" bottom="1" header="0.5" footer="0.5"/>
  <pageSetup scale="81" orientation="landscape" r:id="rId1"/>
  <headerFooter alignWithMargins="0">
    <oddFooter>&amp;L&amp;F</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1"/>
  <dimension ref="B3:K48"/>
  <sheetViews>
    <sheetView tabSelected="1" zoomScale="55" workbookViewId="0"/>
  </sheetViews>
  <sheetFormatPr defaultRowHeight="13" x14ac:dyDescent="0.6"/>
  <cols>
    <col min="3" max="3" width="13.6796875" customWidth="1"/>
  </cols>
  <sheetData>
    <row r="3" spans="2:11" x14ac:dyDescent="0.6">
      <c r="B3" s="246" t="s">
        <v>233</v>
      </c>
      <c r="C3" s="247" t="s">
        <v>234</v>
      </c>
    </row>
    <row r="4" spans="2:11" x14ac:dyDescent="0.6">
      <c r="B4" s="248">
        <v>1</v>
      </c>
      <c r="C4" s="329">
        <f>SUM('Table 3.1-UAA Summary'!E63:N65,'Table 3.1-UAA Summary'!J69:J74,'Table 3.1-UAA Summary'!P69:P76)</f>
        <v>0</v>
      </c>
      <c r="D4" s="12"/>
    </row>
    <row r="5" spans="2:11" x14ac:dyDescent="0.6">
      <c r="B5" s="248">
        <f>B4+1</f>
        <v>2</v>
      </c>
      <c r="C5" s="329">
        <f>SUM('Table 3.2-Total Fwd Summary'!B37:B39,'Table 3.2-Total Fwd Summary'!K37:K44)</f>
        <v>0</v>
      </c>
      <c r="D5" s="12"/>
    </row>
    <row r="6" spans="2:11" x14ac:dyDescent="0.6">
      <c r="B6" s="248">
        <f t="shared" ref="B6:B29" si="0">B5+1</f>
        <v>3</v>
      </c>
      <c r="C6" s="329">
        <f>SUM('Table 3.3-PARS Fwd Summary'!B32:B34,'Table 3.3-PARS Fwd Summary'!K32:K39)</f>
        <v>0</v>
      </c>
      <c r="D6" s="12"/>
      <c r="F6" s="27"/>
      <c r="G6" s="241"/>
      <c r="H6" s="27"/>
      <c r="I6" s="27"/>
      <c r="J6" s="27"/>
      <c r="K6" s="27"/>
    </row>
    <row r="7" spans="2:11" x14ac:dyDescent="0.6">
      <c r="B7" s="248">
        <f t="shared" si="0"/>
        <v>4</v>
      </c>
      <c r="C7" s="329">
        <f>SUM('Table 3.4-NonPARS Fwd Summary'!K27:K32)</f>
        <v>0</v>
      </c>
      <c r="D7" s="12"/>
      <c r="F7" s="27"/>
      <c r="G7" s="241"/>
      <c r="H7" s="27"/>
      <c r="I7" s="27"/>
      <c r="J7" s="27"/>
      <c r="K7" s="27"/>
    </row>
    <row r="8" spans="2:11" x14ac:dyDescent="0.6">
      <c r="B8" s="248">
        <f t="shared" si="0"/>
        <v>5</v>
      </c>
      <c r="C8" s="329">
        <f>SUM('Table 3.5-Total RTS Summary'!B41:B43,'Table 3.5-Total RTS Summary'!K41:K48)</f>
        <v>0</v>
      </c>
      <c r="D8" s="12"/>
      <c r="E8" s="27"/>
      <c r="F8" s="27"/>
      <c r="G8" s="241"/>
      <c r="H8" s="27"/>
      <c r="I8" s="27"/>
      <c r="J8" s="27"/>
      <c r="K8" s="27"/>
    </row>
    <row r="9" spans="2:11" x14ac:dyDescent="0.6">
      <c r="B9" s="248">
        <f t="shared" si="0"/>
        <v>6</v>
      </c>
      <c r="C9" s="329">
        <f>SUM('Table 3.6-PARS RTS Summary'!B71:B77,'Table 3.6-PARS RTS Summary'!K71:K78)</f>
        <v>0</v>
      </c>
      <c r="E9" s="27"/>
      <c r="F9" s="241"/>
    </row>
    <row r="10" spans="2:11" x14ac:dyDescent="0.6">
      <c r="B10" s="248">
        <f t="shared" si="0"/>
        <v>7</v>
      </c>
      <c r="C10" s="329">
        <f>SUM('Table 3.7-NonPARS RTS Summary'!K32:K37)</f>
        <v>0</v>
      </c>
    </row>
    <row r="11" spans="2:11" x14ac:dyDescent="0.6">
      <c r="B11" s="248">
        <f t="shared" si="0"/>
        <v>8</v>
      </c>
      <c r="C11" s="329">
        <f>SUM('Table 3.8-Total Wst Summary'!B21:B23,'Table 3.8-Total Wst Summary'!K21:K26)</f>
        <v>0</v>
      </c>
    </row>
    <row r="12" spans="2:11" x14ac:dyDescent="0.6">
      <c r="B12" s="248">
        <f t="shared" si="0"/>
        <v>9</v>
      </c>
      <c r="C12" s="329">
        <f>SUM('Table 3.9-PARS Wst Summary'!B50:B55,'Table 3.9-PARS Wst Summary'!K50:K55)</f>
        <v>0</v>
      </c>
    </row>
    <row r="13" spans="2:11" x14ac:dyDescent="0.6">
      <c r="B13" s="248">
        <f t="shared" si="0"/>
        <v>10</v>
      </c>
      <c r="C13" s="329">
        <f>SUM('Table 3.10-NonPARS Wst Summary'!K22:K25)</f>
        <v>0</v>
      </c>
      <c r="D13" s="12"/>
    </row>
    <row r="14" spans="2:11" x14ac:dyDescent="0.6">
      <c r="B14" s="248">
        <f t="shared" si="0"/>
        <v>11</v>
      </c>
      <c r="C14" s="329">
        <f>SUM('Table 3.11-Form3547 Costs'!H72:H78,'Table 3.11-Form3547 Costs'!P72:P78)</f>
        <v>1.0913936421275139E-11</v>
      </c>
      <c r="D14" s="12"/>
    </row>
    <row r="15" spans="2:11" x14ac:dyDescent="0.6">
      <c r="B15" s="248">
        <f t="shared" si="0"/>
        <v>12</v>
      </c>
      <c r="C15" s="329">
        <f>SUM('Table 3.12-Form3579 Costs'!H14:H15,'Table 3.12-Form3579 Costs'!P14)</f>
        <v>0</v>
      </c>
    </row>
    <row r="16" spans="2:11" x14ac:dyDescent="0.6">
      <c r="B16" s="248">
        <f t="shared" si="0"/>
        <v>13</v>
      </c>
      <c r="C16" s="329">
        <f>SUM('Table 3.13-COA Costs'!D81:H83)</f>
        <v>0</v>
      </c>
    </row>
    <row r="17" spans="2:4" x14ac:dyDescent="0.6">
      <c r="B17" s="248">
        <f t="shared" si="0"/>
        <v>14</v>
      </c>
      <c r="C17" s="329">
        <f>SUM('Table 3.14-Route UAA'!N7:P39,'Table 3.14-Route UAA'!N48:Q111,'Table 3.14-Route UAA'!B114:J118)</f>
        <v>2.7807756097786296E-11</v>
      </c>
    </row>
    <row r="18" spans="2:4" x14ac:dyDescent="0.6">
      <c r="B18" s="248">
        <f t="shared" si="0"/>
        <v>15</v>
      </c>
      <c r="C18" s="329">
        <f>SUM('Table 3.15-Route UAA NoPARS'!B114:J118)</f>
        <v>6.4130745158763602E-10</v>
      </c>
      <c r="D18" s="12"/>
    </row>
    <row r="19" spans="2:4" x14ac:dyDescent="0.6">
      <c r="B19" s="248">
        <f t="shared" si="0"/>
        <v>16</v>
      </c>
      <c r="C19" s="329">
        <f>SUM('Table 3.16-Route UAA PARS'!B114:J118)</f>
        <v>-6.9348971010185778E-12</v>
      </c>
    </row>
    <row r="20" spans="2:4" x14ac:dyDescent="0.6">
      <c r="B20" s="248">
        <f t="shared" si="0"/>
        <v>17</v>
      </c>
      <c r="C20" s="329">
        <f>SUM('Table 3.17-No Record Mail'!B29:B31,'Table 3.17-No Record Mail'!J29:J31)</f>
        <v>0</v>
      </c>
    </row>
    <row r="21" spans="2:4" x14ac:dyDescent="0.6">
      <c r="B21" s="248">
        <f t="shared" si="0"/>
        <v>18</v>
      </c>
      <c r="C21" s="329">
        <f>SUM('Table 3.18-Nixie UAA'!B43:D48,'Table 3.18-Nixie UAA'!I43:J43)</f>
        <v>-2.6830093702301383E-10</v>
      </c>
    </row>
    <row r="22" spans="2:4" x14ac:dyDescent="0.6">
      <c r="B22" s="248">
        <f t="shared" si="0"/>
        <v>19</v>
      </c>
      <c r="C22" s="329">
        <f>SUM('Table 3.19-CFS UAA'!H96:H97,'Table 3.19-CFS UAA'!M96:M97,'Table 3.19-CFS UAA'!B99:B100,'Table 3.19-CFS UAA'!J99:J100,'Table 3.19-CFS UAA'!H102:H104,'Table 3.19-CFS UAA'!M102:M104,'Table 3.19-CFS UAA'!B106:B108,'Table 3.19-CFS UAA'!H106:H108,'Table 3.19-CFS UAA'!B110:D111)</f>
        <v>0</v>
      </c>
    </row>
    <row r="23" spans="2:4" x14ac:dyDescent="0.6">
      <c r="B23" s="248">
        <f t="shared" si="0"/>
        <v>20</v>
      </c>
      <c r="C23" s="329">
        <f>SUM('Table 3.20-CFS Non-CIOSS'!F90:F94,'Table 3.20-CFS Non-CIOSS'!B97:B101,'Table 3.20-CFS Non-CIOSS'!F103:F109,'Table 3.20-CFS Non-CIOSS'!B111:B114)</f>
        <v>0</v>
      </c>
    </row>
    <row r="24" spans="2:4" x14ac:dyDescent="0.6">
      <c r="B24" s="248">
        <f t="shared" si="0"/>
        <v>21</v>
      </c>
      <c r="C24" s="329">
        <f>SUM('Table 3.21-CFS CIOSS Rejs'!F90:F94,'Table 3.21-CFS CIOSS Rejs'!B97:B101,'Table 3.21-CFS CIOSS Rejs'!F103:F109,'Table 3.21-CFS CIOSS Rejs'!B111:B114)</f>
        <v>0</v>
      </c>
    </row>
    <row r="25" spans="2:4" x14ac:dyDescent="0.6">
      <c r="B25" s="248">
        <f t="shared" si="0"/>
        <v>22</v>
      </c>
      <c r="C25" s="329"/>
      <c r="D25" s="12"/>
    </row>
    <row r="26" spans="2:4" x14ac:dyDescent="0.6">
      <c r="B26" s="248">
        <f t="shared" si="0"/>
        <v>23</v>
      </c>
      <c r="C26" s="329">
        <f>SUM('Table 3.23-CIOSS Summary'!C16:J16)</f>
        <v>0</v>
      </c>
      <c r="D26" s="12"/>
    </row>
    <row r="27" spans="2:4" x14ac:dyDescent="0.6">
      <c r="B27" s="248">
        <f t="shared" si="0"/>
        <v>24</v>
      </c>
      <c r="C27" s="329">
        <f>SUM('Table 3.24-CIOSS Detail'!E42:F45)</f>
        <v>0</v>
      </c>
    </row>
    <row r="28" spans="2:4" x14ac:dyDescent="0.6">
      <c r="B28" s="248">
        <f t="shared" si="0"/>
        <v>25</v>
      </c>
      <c r="C28" s="329">
        <f>SUM('Table 3.25-REC Summary'!C20:N20)</f>
        <v>0</v>
      </c>
    </row>
    <row r="29" spans="2:4" x14ac:dyDescent="0.6">
      <c r="B29" s="248">
        <f t="shared" si="0"/>
        <v>26</v>
      </c>
      <c r="C29" s="329">
        <f>SUM('Table 3.26-REC Detail NonACS'!E52:F56,'Table 3.26-REC Detail NonACS'!K52:L52)</f>
        <v>9.0949470177292824E-13</v>
      </c>
    </row>
    <row r="30" spans="2:4" x14ac:dyDescent="0.6">
      <c r="B30" s="248">
        <f>B29+1</f>
        <v>27</v>
      </c>
      <c r="C30" s="329">
        <f>SUM('Table 3.27-REC Detail ACS'!E52:L56)</f>
        <v>0</v>
      </c>
    </row>
    <row r="31" spans="2:4" x14ac:dyDescent="0.6">
      <c r="B31" s="248">
        <f t="shared" ref="B31:B47" si="1">B30+1</f>
        <v>28</v>
      </c>
      <c r="C31" s="329">
        <f>SUM('Table 3.28-REC Volume'!E49:H52)</f>
        <v>0</v>
      </c>
    </row>
    <row r="32" spans="2:4" x14ac:dyDescent="0.6">
      <c r="B32" s="248">
        <f t="shared" si="1"/>
        <v>29</v>
      </c>
      <c r="C32" s="329"/>
    </row>
    <row r="33" spans="2:3" x14ac:dyDescent="0.6">
      <c r="B33" s="248">
        <f t="shared" si="1"/>
        <v>30</v>
      </c>
      <c r="C33" s="329">
        <f>SUM('Table 3.30-UAA MP Cost'!B36:F37)</f>
        <v>0</v>
      </c>
    </row>
    <row r="34" spans="2:3" x14ac:dyDescent="0.6">
      <c r="B34" s="248">
        <f t="shared" si="1"/>
        <v>31</v>
      </c>
      <c r="C34" s="329">
        <f>SUM('Table 3.31-Rating Post Due'!B29:I29)</f>
        <v>0</v>
      </c>
    </row>
    <row r="35" spans="2:3" x14ac:dyDescent="0.6">
      <c r="B35" s="248">
        <f t="shared" si="1"/>
        <v>32</v>
      </c>
      <c r="C35" s="329">
        <f>SUM('Table 3.32-Accounting Post Due'!C15:F21)</f>
        <v>0</v>
      </c>
    </row>
    <row r="36" spans="2:3" x14ac:dyDescent="0.6">
      <c r="B36" s="248">
        <f t="shared" si="1"/>
        <v>33</v>
      </c>
      <c r="C36" s="329">
        <f>SUM('Table 3.33-Delivery Post Due'!C22:D35)</f>
        <v>0</v>
      </c>
    </row>
    <row r="37" spans="2:3" x14ac:dyDescent="0.6">
      <c r="B37" s="248">
        <f t="shared" si="1"/>
        <v>34</v>
      </c>
      <c r="C37" s="329">
        <f>SUM('Table 3.34-Window Post Due'!C15:D19)</f>
        <v>0</v>
      </c>
    </row>
    <row r="38" spans="2:3" x14ac:dyDescent="0.6">
      <c r="B38" s="248">
        <f t="shared" si="1"/>
        <v>35</v>
      </c>
      <c r="C38" s="329"/>
    </row>
    <row r="39" spans="2:3" x14ac:dyDescent="0.6">
      <c r="B39" s="248">
        <f t="shared" si="1"/>
        <v>36</v>
      </c>
      <c r="C39" s="329">
        <f>'Table 3.36-Process Form 3546'!F19</f>
        <v>0</v>
      </c>
    </row>
    <row r="40" spans="2:3" x14ac:dyDescent="0.6">
      <c r="B40" s="248">
        <f t="shared" si="1"/>
        <v>37</v>
      </c>
      <c r="C40" s="329"/>
    </row>
    <row r="41" spans="2:3" x14ac:dyDescent="0.6">
      <c r="B41" s="248">
        <f t="shared" si="1"/>
        <v>38</v>
      </c>
      <c r="C41" s="329"/>
    </row>
    <row r="42" spans="2:3" x14ac:dyDescent="0.6">
      <c r="B42" s="248">
        <f t="shared" si="1"/>
        <v>39</v>
      </c>
      <c r="C42" s="329"/>
    </row>
    <row r="43" spans="2:3" x14ac:dyDescent="0.6">
      <c r="B43" s="248">
        <f t="shared" si="1"/>
        <v>40</v>
      </c>
      <c r="C43" s="329"/>
    </row>
    <row r="44" spans="2:3" x14ac:dyDescent="0.6">
      <c r="B44" s="248">
        <f t="shared" si="1"/>
        <v>41</v>
      </c>
      <c r="C44" s="329">
        <f>SUM('Table 3.41-Man Notice'!F37:F39)</f>
        <v>0</v>
      </c>
    </row>
    <row r="45" spans="2:3" x14ac:dyDescent="0.6">
      <c r="B45" s="248">
        <f t="shared" si="1"/>
        <v>42</v>
      </c>
      <c r="C45" s="329">
        <f>SUM('Table 3.42-Vol Flows'!B26:M30)</f>
        <v>-1.9099388737231493E-11</v>
      </c>
    </row>
    <row r="46" spans="2:3" x14ac:dyDescent="0.6">
      <c r="B46" s="248">
        <f t="shared" si="1"/>
        <v>43</v>
      </c>
      <c r="C46" s="329">
        <f>SUM('Table 3.43-Elec Notice'!B36:R38)</f>
        <v>0</v>
      </c>
    </row>
    <row r="47" spans="2:3" x14ac:dyDescent="0.6">
      <c r="B47" s="249">
        <f t="shared" si="1"/>
        <v>44</v>
      </c>
      <c r="C47" s="330">
        <f>SUM('Table 3.44-One Code ACS'!B36:P37)</f>
        <v>0</v>
      </c>
    </row>
    <row r="48" spans="2:3" x14ac:dyDescent="0.6">
      <c r="C48" s="590">
        <f>SUM(C4:C47)</f>
        <v>3.8660341594720649E-10</v>
      </c>
    </row>
  </sheetData>
  <phoneticPr fontId="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R43"/>
  <sheetViews>
    <sheetView zoomScale="70" workbookViewId="0"/>
  </sheetViews>
  <sheetFormatPr defaultRowHeight="13" x14ac:dyDescent="0.6"/>
  <cols>
    <col min="1" max="1" width="50" customWidth="1"/>
    <col min="2" max="2" width="11.6796875" customWidth="1"/>
    <col min="3" max="3" width="3.453125" customWidth="1"/>
    <col min="4" max="4" width="11.6796875" customWidth="1"/>
    <col min="5" max="5" width="3.453125" customWidth="1"/>
    <col min="6" max="6" width="11.6796875" customWidth="1"/>
    <col min="7" max="7" width="3.453125" customWidth="1"/>
    <col min="8" max="8" width="11.6796875" customWidth="1"/>
    <col min="9" max="9" width="3.453125" customWidth="1"/>
    <col min="10" max="10" width="11.6796875" customWidth="1"/>
  </cols>
  <sheetData>
    <row r="1" spans="1:18" s="13" customFormat="1" ht="15.5" x14ac:dyDescent="0.7">
      <c r="A1" s="157" t="s">
        <v>548</v>
      </c>
      <c r="B1" s="19"/>
      <c r="C1" s="19"/>
      <c r="D1" s="19"/>
      <c r="E1" s="19"/>
      <c r="F1" s="19"/>
      <c r="G1" s="19"/>
      <c r="H1" s="19"/>
      <c r="I1" s="19"/>
      <c r="J1" s="19"/>
    </row>
    <row r="2" spans="1:18" s="13" customFormat="1" ht="15.5" x14ac:dyDescent="0.7">
      <c r="A2" s="158" t="s">
        <v>787</v>
      </c>
      <c r="B2" s="19"/>
      <c r="C2" s="19"/>
      <c r="D2" s="19"/>
      <c r="E2" s="19"/>
      <c r="F2" s="19"/>
      <c r="G2" s="19"/>
      <c r="H2" s="19"/>
      <c r="I2" s="19"/>
      <c r="J2" s="19"/>
    </row>
    <row r="3" spans="1:18" ht="26" x14ac:dyDescent="0.6">
      <c r="B3" s="168" t="s">
        <v>109</v>
      </c>
      <c r="C3" s="168"/>
      <c r="D3" s="169" t="s">
        <v>104</v>
      </c>
      <c r="E3" s="169"/>
      <c r="F3" s="168" t="s">
        <v>110</v>
      </c>
      <c r="G3" s="168"/>
      <c r="H3" s="170" t="s">
        <v>97</v>
      </c>
      <c r="I3" s="170"/>
      <c r="J3" s="171" t="s">
        <v>105</v>
      </c>
    </row>
    <row r="4" spans="1:18" x14ac:dyDescent="0.6">
      <c r="A4" s="333" t="s">
        <v>595</v>
      </c>
    </row>
    <row r="5" spans="1:18" x14ac:dyDescent="0.6">
      <c r="A5" s="353" t="s">
        <v>307</v>
      </c>
      <c r="B5" s="32">
        <f>'Table 3.15-Route UAA NoPARS'!D102</f>
        <v>41577.891726989015</v>
      </c>
      <c r="C5" s="241" t="s">
        <v>240</v>
      </c>
      <c r="D5" s="488">
        <f>F5/B5</f>
        <v>9.9667717898125827E-2</v>
      </c>
      <c r="E5" s="27"/>
      <c r="F5" s="489">
        <f>'Table 3.15-Route UAA NoPARS'!J102</f>
        <v>4143.9735834443609</v>
      </c>
      <c r="G5" s="241" t="s">
        <v>240</v>
      </c>
      <c r="H5" s="358">
        <f>B5/$B$24</f>
        <v>0.55839453892451185</v>
      </c>
      <c r="J5" s="22">
        <f>D5*H5</f>
        <v>5.5653909381382288E-2</v>
      </c>
      <c r="N5" s="27"/>
      <c r="O5" s="27"/>
      <c r="P5" s="27"/>
      <c r="Q5" s="27"/>
      <c r="R5" s="27"/>
    </row>
    <row r="6" spans="1:18" x14ac:dyDescent="0.6">
      <c r="A6" s="239" t="s">
        <v>520</v>
      </c>
      <c r="B6" s="32">
        <f>SUM('Table 3.18-Nixie UAA'!D15,'Table 3.18-Nixie UAA'!D24)</f>
        <v>41577.891726989008</v>
      </c>
      <c r="C6" s="241" t="s">
        <v>241</v>
      </c>
      <c r="D6" s="488">
        <f>F6/B6</f>
        <v>0.12768397647832738</v>
      </c>
      <c r="E6" s="27"/>
      <c r="F6" s="489">
        <f>SUM('Table 3.18-Nixie UAA'!I15,'Table 3.18-Nixie UAA'!I24)</f>
        <v>5308.8305492873069</v>
      </c>
      <c r="G6" s="241" t="s">
        <v>241</v>
      </c>
      <c r="H6" s="358">
        <f>B6/$B$24</f>
        <v>0.55839453892451174</v>
      </c>
      <c r="J6" s="22">
        <f>D6*H6</f>
        <v>7.1298035173663815E-2</v>
      </c>
    </row>
    <row r="7" spans="1:18" x14ac:dyDescent="0.6">
      <c r="A7" s="353" t="s">
        <v>98</v>
      </c>
      <c r="B7" s="32">
        <f>SUM('Table 3.31-Rating Post Due'!B12,'Table 3.31-Rating Post Due'!B20)</f>
        <v>250.04791965190017</v>
      </c>
      <c r="C7" s="241" t="s">
        <v>242</v>
      </c>
      <c r="D7" s="488">
        <f>F7/B7</f>
        <v>0.19490023260387532</v>
      </c>
      <c r="E7" s="27"/>
      <c r="F7" s="489">
        <f>SUM('Table 3.31-Rating Post Due'!H12,'Table 3.31-Rating Post Due'!H20)</f>
        <v>48.734397702270471</v>
      </c>
      <c r="G7" s="241" t="s">
        <v>242</v>
      </c>
      <c r="H7" s="358">
        <f>B7/$B$24</f>
        <v>3.3581643273274155E-3</v>
      </c>
      <c r="J7" s="22">
        <f>D7*H7</f>
        <v>6.5450700851814975E-4</v>
      </c>
    </row>
    <row r="8" spans="1:18" x14ac:dyDescent="0.6">
      <c r="A8" s="353" t="s">
        <v>102</v>
      </c>
      <c r="B8" s="32">
        <f>B5</f>
        <v>41577.891726989015</v>
      </c>
      <c r="C8" s="27"/>
      <c r="D8" s="488">
        <f>F8/B8</f>
        <v>0.22852381724459361</v>
      </c>
      <c r="E8" s="27"/>
      <c r="F8" s="489">
        <f>SUM(F5:F7)</f>
        <v>9501.5385304339379</v>
      </c>
      <c r="J8" s="22">
        <f>SUM(J5:J7)</f>
        <v>0.12760645156356426</v>
      </c>
    </row>
    <row r="9" spans="1:18" ht="5.15" customHeight="1" x14ac:dyDescent="0.6">
      <c r="B9" s="32"/>
      <c r="C9" s="27"/>
      <c r="D9" s="488"/>
      <c r="E9" s="27"/>
      <c r="F9" s="489"/>
      <c r="H9" s="6"/>
      <c r="K9" s="6"/>
    </row>
    <row r="10" spans="1:18" x14ac:dyDescent="0.6">
      <c r="A10" s="15" t="s">
        <v>596</v>
      </c>
      <c r="B10" s="32"/>
      <c r="C10" s="27"/>
      <c r="D10" s="488"/>
      <c r="E10" s="27"/>
      <c r="F10" s="489"/>
      <c r="H10" s="142"/>
    </row>
    <row r="11" spans="1:18" ht="12.75" customHeight="1" x14ac:dyDescent="0.6">
      <c r="A11" s="353" t="s">
        <v>307</v>
      </c>
      <c r="B11" s="32">
        <f>'Table 3.15-Route UAA NoPARS'!D106</f>
        <v>32881.811634490034</v>
      </c>
      <c r="C11" s="241" t="s">
        <v>240</v>
      </c>
      <c r="D11" s="488">
        <f>F11/B11</f>
        <v>8.5020782831101649E-2</v>
      </c>
      <c r="E11" s="27"/>
      <c r="F11" s="489">
        <f>'Table 3.15-Route UAA NoPARS'!J106</f>
        <v>2795.6373660691688</v>
      </c>
      <c r="G11" s="241" t="s">
        <v>240</v>
      </c>
      <c r="H11" s="358">
        <f>B11/$B$24</f>
        <v>0.44160546107548826</v>
      </c>
      <c r="J11" s="22">
        <f>D11*H11</f>
        <v>3.7545642003127599E-2</v>
      </c>
    </row>
    <row r="12" spans="1:18" ht="12.75" customHeight="1" x14ac:dyDescent="0.6">
      <c r="A12" s="239" t="s">
        <v>96</v>
      </c>
      <c r="B12" s="32">
        <f>'Table 3.20-CFS Non-CIOSS'!B9</f>
        <v>32881.811634490034</v>
      </c>
      <c r="C12" s="241" t="s">
        <v>243</v>
      </c>
      <c r="D12" s="488">
        <f>F12/B12</f>
        <v>0.28335656489661398</v>
      </c>
      <c r="E12" s="27"/>
      <c r="F12" s="489">
        <f>'Table 3.20-CFS Non-CIOSS'!H9</f>
        <v>9317.2771923266118</v>
      </c>
      <c r="G12" s="241" t="s">
        <v>243</v>
      </c>
      <c r="H12" s="358">
        <f>B12/$B$24</f>
        <v>0.44160546107548826</v>
      </c>
      <c r="J12" s="22">
        <f>D12*H12</f>
        <v>0.12513180648993572</v>
      </c>
    </row>
    <row r="13" spans="1:18" x14ac:dyDescent="0.6">
      <c r="A13" s="239" t="s">
        <v>310</v>
      </c>
      <c r="B13" s="32">
        <f>'Table 3.20-CFS Non-CIOSS'!B45+'Table 3.20-CFS Non-CIOSS'!B56</f>
        <v>1050.1355715969671</v>
      </c>
      <c r="C13" s="241" t="s">
        <v>243</v>
      </c>
      <c r="D13" s="488">
        <f>F13/B13</f>
        <v>0.37486332586844628</v>
      </c>
      <c r="E13" s="490"/>
      <c r="F13" s="32">
        <f>'Table 3.20-CFS Non-CIOSS'!H45+'Table 3.20-CFS Non-CIOSS'!H56</f>
        <v>393.65731298160097</v>
      </c>
      <c r="G13" s="241" t="s">
        <v>243</v>
      </c>
      <c r="H13" s="358">
        <f>B13/$B$24</f>
        <v>1.4103407939981721E-2</v>
      </c>
      <c r="J13" s="22">
        <f>D13*H13</f>
        <v>5.2868504064610003E-3</v>
      </c>
    </row>
    <row r="14" spans="1:18" x14ac:dyDescent="0.6">
      <c r="A14" s="353" t="s">
        <v>102</v>
      </c>
      <c r="B14" s="32">
        <f>B11</f>
        <v>32881.811634490034</v>
      </c>
      <c r="C14" s="490"/>
      <c r="D14" s="488">
        <f>F14/B14</f>
        <v>0.38034923411151478</v>
      </c>
      <c r="E14" s="490"/>
      <c r="F14" s="489">
        <f>SUM(F11:F13)</f>
        <v>12506.57187137738</v>
      </c>
      <c r="H14" s="142"/>
      <c r="J14" s="83">
        <f>SUM(J11:J13)</f>
        <v>0.16796429889952433</v>
      </c>
    </row>
    <row r="15" spans="1:18" ht="5.15" customHeight="1" x14ac:dyDescent="0.6">
      <c r="A15" s="100"/>
      <c r="B15" s="324"/>
      <c r="C15" s="18"/>
      <c r="D15" s="18"/>
      <c r="E15" s="18"/>
      <c r="F15" s="489"/>
      <c r="G15" s="18"/>
      <c r="H15" s="142"/>
      <c r="I15" s="18"/>
      <c r="J15" s="18"/>
    </row>
    <row r="16" spans="1:18" ht="12.75" customHeight="1" x14ac:dyDescent="0.6">
      <c r="A16" s="15" t="s">
        <v>579</v>
      </c>
      <c r="B16" s="324"/>
      <c r="C16" s="18"/>
      <c r="D16" s="18"/>
      <c r="E16" s="18"/>
      <c r="F16" s="489"/>
      <c r="G16" s="18"/>
      <c r="H16" s="142"/>
      <c r="I16" s="18"/>
      <c r="J16" s="18"/>
    </row>
    <row r="17" spans="1:11" ht="12.75" customHeight="1" x14ac:dyDescent="0.6">
      <c r="A17" s="353" t="s">
        <v>320</v>
      </c>
      <c r="B17" s="6">
        <f>SUM(B8,B14)</f>
        <v>74459.703361479042</v>
      </c>
      <c r="D17" s="83">
        <f>'Table 3.30-UAA MP Cost'!D16</f>
        <v>0.39876445877267608</v>
      </c>
      <c r="E17" s="12" t="s">
        <v>586</v>
      </c>
      <c r="F17" s="489">
        <f>B17*D17</f>
        <v>29691.883311314199</v>
      </c>
      <c r="G17" s="18"/>
      <c r="H17" s="358">
        <f>B17/$B$24</f>
        <v>1</v>
      </c>
      <c r="I17" s="18"/>
      <c r="J17" s="22">
        <f>D17*H17</f>
        <v>0.39876445877267608</v>
      </c>
    </row>
    <row r="18" spans="1:11" x14ac:dyDescent="0.6">
      <c r="A18" s="353" t="s">
        <v>99</v>
      </c>
      <c r="B18" s="6">
        <f>'Table 3.35-PD Vols'!D6</f>
        <v>1300.1834912488675</v>
      </c>
      <c r="C18" s="12" t="s">
        <v>244</v>
      </c>
      <c r="D18" s="83">
        <f>'Table 3.32-Accounting Post Due'!I7</f>
        <v>2.832308689845783</v>
      </c>
      <c r="E18" s="12" t="s">
        <v>587</v>
      </c>
      <c r="F18" s="489">
        <f>B18*D18</f>
        <v>3682.521000658196</v>
      </c>
      <c r="G18" s="18"/>
      <c r="H18" s="358">
        <f>B18/$B$24</f>
        <v>1.7461572267309138E-2</v>
      </c>
      <c r="I18" s="18"/>
      <c r="J18" s="22">
        <f>D18*H18</f>
        <v>4.9456562871069802E-2</v>
      </c>
    </row>
    <row r="19" spans="1:11" x14ac:dyDescent="0.6">
      <c r="A19" s="353" t="s">
        <v>100</v>
      </c>
      <c r="B19" s="6">
        <f>'Table 3.35-PD Vols'!D7</f>
        <v>965.38385222679847</v>
      </c>
      <c r="C19" s="12" t="s">
        <v>244</v>
      </c>
      <c r="D19" s="83">
        <f>'Table 3.33-Delivery Post Due'!I11</f>
        <v>0.90047096221188005</v>
      </c>
      <c r="E19" s="12" t="s">
        <v>590</v>
      </c>
      <c r="F19" s="489">
        <f>B19*D19</f>
        <v>869.3001263184766</v>
      </c>
      <c r="G19" s="18"/>
      <c r="H19" s="358">
        <f>B19/$B$24</f>
        <v>1.2965185310236273E-2</v>
      </c>
      <c r="I19" s="18"/>
      <c r="J19" s="22">
        <f>D19*H19</f>
        <v>1.167477289156379E-2</v>
      </c>
    </row>
    <row r="20" spans="1:11" x14ac:dyDescent="0.6">
      <c r="A20" s="497" t="s">
        <v>210</v>
      </c>
      <c r="B20" s="6">
        <f>'Table 3.35-PD Vols'!D8</f>
        <v>334.79963902206913</v>
      </c>
      <c r="C20" s="12" t="s">
        <v>244</v>
      </c>
      <c r="D20" s="83">
        <f>'Table 3.34-Window Post Due'!I7</f>
        <v>0.47544155968083029</v>
      </c>
      <c r="E20" s="12" t="s">
        <v>591</v>
      </c>
      <c r="F20" s="489">
        <f>B20*D20</f>
        <v>159.17766255723151</v>
      </c>
      <c r="G20" s="18"/>
      <c r="H20" s="358">
        <f>B20/$B$24</f>
        <v>4.4963869570728678E-3</v>
      </c>
      <c r="I20" s="18"/>
      <c r="J20" s="22">
        <f>D20*H20</f>
        <v>2.1377692277992667E-3</v>
      </c>
    </row>
    <row r="21" spans="1:11" x14ac:dyDescent="0.6">
      <c r="A21" s="497" t="s">
        <v>101</v>
      </c>
      <c r="B21" s="6">
        <f>'Table 3.36-Process Form 3546'!B4</f>
        <v>804.33817548545846</v>
      </c>
      <c r="C21" s="12" t="s">
        <v>582</v>
      </c>
      <c r="D21" s="83">
        <f>'Table 3.36-Process Form 3546'!J17</f>
        <v>4.8793355310236199</v>
      </c>
      <c r="E21" s="12" t="s">
        <v>582</v>
      </c>
      <c r="F21" s="489">
        <f>B21*D21</f>
        <v>3924.6358386049092</v>
      </c>
      <c r="G21" s="18"/>
      <c r="H21" s="358">
        <f>B21/$B$24</f>
        <v>1.0802328496806429E-2</v>
      </c>
      <c r="I21" s="18"/>
      <c r="J21" s="22">
        <f>D21*H21</f>
        <v>5.2708185252256581E-2</v>
      </c>
    </row>
    <row r="22" spans="1:11" x14ac:dyDescent="0.6">
      <c r="A22" s="100" t="s">
        <v>102</v>
      </c>
      <c r="B22" s="324">
        <f>B17</f>
        <v>74459.703361479042</v>
      </c>
      <c r="C22" s="18"/>
      <c r="D22" s="83">
        <f>F22/B22</f>
        <v>0.51474174901536551</v>
      </c>
      <c r="E22" s="18"/>
      <c r="F22" s="489">
        <f>SUM(F17:F21)</f>
        <v>38327.517939453013</v>
      </c>
      <c r="G22" s="18"/>
      <c r="H22" s="142"/>
      <c r="I22" s="18"/>
      <c r="J22" s="552">
        <f>SUM(J17:J21)</f>
        <v>0.51474174901536551</v>
      </c>
    </row>
    <row r="23" spans="1:11" ht="5.15" customHeight="1" x14ac:dyDescent="0.6">
      <c r="A23" s="91"/>
      <c r="B23" s="324"/>
      <c r="C23" s="18"/>
      <c r="D23" s="83"/>
      <c r="E23" s="18"/>
      <c r="F23" s="489"/>
      <c r="G23" s="18"/>
      <c r="H23" s="142"/>
      <c r="I23" s="18"/>
      <c r="J23" s="18"/>
    </row>
    <row r="24" spans="1:11" x14ac:dyDescent="0.6">
      <c r="A24" s="91" t="s">
        <v>494</v>
      </c>
      <c r="B24" s="393">
        <f>SUM(B8,B14)</f>
        <v>74459.703361479042</v>
      </c>
      <c r="C24" s="18"/>
      <c r="D24" s="83"/>
      <c r="E24" s="18"/>
      <c r="F24" s="508">
        <f>SUM(F8,F14,F22)</f>
        <v>60335.628341264332</v>
      </c>
      <c r="G24" s="18"/>
      <c r="H24" s="142"/>
      <c r="I24" s="18"/>
      <c r="J24" s="553">
        <f>SUM(J8,J14,J22)</f>
        <v>0.81031249947845407</v>
      </c>
    </row>
    <row r="25" spans="1:11" hidden="1" x14ac:dyDescent="0.6">
      <c r="A25" s="91"/>
      <c r="B25" s="324"/>
      <c r="C25" s="18"/>
      <c r="D25" s="83"/>
      <c r="E25" s="18"/>
      <c r="F25" s="175"/>
      <c r="G25" s="18"/>
      <c r="H25" s="142"/>
      <c r="I25" s="18"/>
      <c r="J25" s="18"/>
    </row>
    <row r="26" spans="1:11" hidden="1" x14ac:dyDescent="0.6">
      <c r="A26" s="5"/>
      <c r="B26" s="240"/>
      <c r="F26" s="359"/>
      <c r="H26" s="6"/>
      <c r="J26" s="6"/>
    </row>
    <row r="27" spans="1:11" hidden="1" x14ac:dyDescent="0.6">
      <c r="A27" s="23" t="s">
        <v>191</v>
      </c>
      <c r="B27" s="240"/>
      <c r="G27" s="482" t="s">
        <v>311</v>
      </c>
      <c r="H27" s="6">
        <f>SUM('Table 3.15-Route UAA NoPARS'!J102,'Table 3.15-Route UAA NoPARS'!J106)</f>
        <v>6939.6109495135297</v>
      </c>
      <c r="J27" s="6">
        <f>SUM(F5,F11)</f>
        <v>6939.6109495135297</v>
      </c>
      <c r="K27" s="143">
        <f t="shared" ref="K27:K32" si="0">H27-J27</f>
        <v>0</v>
      </c>
    </row>
    <row r="28" spans="1:11" hidden="1" x14ac:dyDescent="0.6">
      <c r="A28" s="5"/>
      <c r="B28" s="240"/>
      <c r="G28" s="46" t="s">
        <v>312</v>
      </c>
      <c r="H28" s="6">
        <f>SUM('Table 3.18-Nixie UAA'!I15,'Table 3.18-Nixie UAA'!I24)+SUM('Table 3.31-Rating Post Due'!H12,'Table 3.31-Rating Post Due'!H20)</f>
        <v>5357.564946989577</v>
      </c>
      <c r="J28" s="6">
        <f>SUM(F6:F7)</f>
        <v>5357.564946989577</v>
      </c>
      <c r="K28" s="143">
        <f t="shared" si="0"/>
        <v>0</v>
      </c>
    </row>
    <row r="29" spans="1:11" hidden="1" x14ac:dyDescent="0.6">
      <c r="A29" s="5"/>
      <c r="B29" s="240"/>
      <c r="G29" s="46" t="s">
        <v>313</v>
      </c>
      <c r="H29" s="6">
        <f>SUM('Table 3.20-CFS Non-CIOSS'!H9,'Table 3.20-CFS Non-CIOSS'!H45,'Table 3.20-CFS Non-CIOSS'!H56)</f>
        <v>9710.9345053082143</v>
      </c>
      <c r="J29" s="6">
        <f>SUM(F12:F13)</f>
        <v>9710.9345053082125</v>
      </c>
      <c r="K29" s="143">
        <f t="shared" si="0"/>
        <v>0</v>
      </c>
    </row>
    <row r="30" spans="1:11" hidden="1" x14ac:dyDescent="0.6">
      <c r="A30" s="5"/>
      <c r="B30" s="240"/>
      <c r="G30" s="67" t="s">
        <v>518</v>
      </c>
      <c r="H30" s="32">
        <f>'Table 3.30-UAA MP Cost'!F16</f>
        <v>29691.883311314206</v>
      </c>
      <c r="J30" s="6">
        <f>F17</f>
        <v>29691.883311314199</v>
      </c>
      <c r="K30" s="143">
        <f t="shared" si="0"/>
        <v>0</v>
      </c>
    </row>
    <row r="31" spans="1:11" hidden="1" x14ac:dyDescent="0.6">
      <c r="A31" s="5"/>
      <c r="G31" s="67" t="s">
        <v>315</v>
      </c>
      <c r="H31" s="32">
        <f>SUM(F18:F21)</f>
        <v>8635.6346281388123</v>
      </c>
      <c r="I31" s="27"/>
      <c r="J31" s="32">
        <f>SUM(F18:F21)</f>
        <v>8635.6346281388123</v>
      </c>
      <c r="K31" s="143">
        <f t="shared" si="0"/>
        <v>0</v>
      </c>
    </row>
    <row r="32" spans="1:11" hidden="1" x14ac:dyDescent="0.6">
      <c r="A32" s="5"/>
      <c r="B32" s="240"/>
      <c r="G32" s="46" t="s">
        <v>314</v>
      </c>
      <c r="H32" s="6">
        <f>SUM(H27:H31)</f>
        <v>60335.628341264339</v>
      </c>
      <c r="J32" s="6">
        <f>SUM(J27:J31)</f>
        <v>60335.628341264324</v>
      </c>
      <c r="K32" s="143">
        <f t="shared" si="0"/>
        <v>0</v>
      </c>
    </row>
    <row r="33" spans="1:10" x14ac:dyDescent="0.6">
      <c r="A33" s="283"/>
      <c r="B33" s="283"/>
      <c r="C33" s="283"/>
      <c r="D33" s="283"/>
      <c r="E33" s="283"/>
      <c r="F33" s="283"/>
      <c r="H33" s="240"/>
    </row>
    <row r="34" spans="1:10" x14ac:dyDescent="0.6">
      <c r="A34" s="284" t="s">
        <v>235</v>
      </c>
    </row>
    <row r="35" spans="1:10" x14ac:dyDescent="0.6">
      <c r="A35" s="241" t="s">
        <v>597</v>
      </c>
      <c r="C35" s="241" t="s">
        <v>684</v>
      </c>
      <c r="D35" s="12"/>
    </row>
    <row r="36" spans="1:10" x14ac:dyDescent="0.6">
      <c r="A36" s="241" t="s">
        <v>598</v>
      </c>
      <c r="C36" s="241" t="s">
        <v>685</v>
      </c>
      <c r="D36" s="12"/>
      <c r="F36" s="6"/>
      <c r="H36" s="234"/>
      <c r="J36" s="6"/>
    </row>
    <row r="37" spans="1:10" x14ac:dyDescent="0.6">
      <c r="A37" s="241" t="s">
        <v>581</v>
      </c>
      <c r="C37" s="241" t="s">
        <v>686</v>
      </c>
      <c r="D37" s="12"/>
      <c r="F37" s="6"/>
      <c r="H37" s="234"/>
      <c r="J37" s="6"/>
    </row>
    <row r="38" spans="1:10" x14ac:dyDescent="0.6">
      <c r="A38" s="241" t="s">
        <v>599</v>
      </c>
      <c r="C38" s="241" t="s">
        <v>687</v>
      </c>
      <c r="F38" s="6"/>
      <c r="H38" s="234"/>
      <c r="J38" s="6"/>
    </row>
    <row r="39" spans="1:10" x14ac:dyDescent="0.6">
      <c r="A39" s="241" t="s">
        <v>600</v>
      </c>
      <c r="C39" s="241" t="s">
        <v>688</v>
      </c>
      <c r="F39" s="6"/>
      <c r="H39" s="234"/>
      <c r="J39" s="6"/>
    </row>
    <row r="40" spans="1:10" x14ac:dyDescent="0.6">
      <c r="A40" s="241" t="s">
        <v>22</v>
      </c>
      <c r="C40" s="241" t="s">
        <v>689</v>
      </c>
      <c r="J40" s="6"/>
    </row>
    <row r="41" spans="1:10" x14ac:dyDescent="0.6">
      <c r="A41" s="241" t="s">
        <v>601</v>
      </c>
    </row>
    <row r="42" spans="1:10" x14ac:dyDescent="0.6">
      <c r="J42" s="6"/>
    </row>
    <row r="43" spans="1:10" x14ac:dyDescent="0.6">
      <c r="J43" s="358"/>
    </row>
  </sheetData>
  <phoneticPr fontId="5" type="noConversion"/>
  <printOptions horizontalCentered="1"/>
  <pageMargins left="0.75" right="0.75" top="1" bottom="1" header="0.5" footer="0.5"/>
  <pageSetup orientation="landscape" r:id="rId1"/>
  <headerFooter alignWithMargins="0">
    <oddFooter>&amp;L&amp;F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K56"/>
  <sheetViews>
    <sheetView zoomScale="70" workbookViewId="0"/>
  </sheetViews>
  <sheetFormatPr defaultRowHeight="13" x14ac:dyDescent="0.6"/>
  <cols>
    <col min="1" max="1" width="50" customWidth="1"/>
    <col min="2" max="2" width="11.6796875" customWidth="1"/>
    <col min="3" max="3" width="3.453125" customWidth="1"/>
    <col min="4" max="4" width="11.6796875" customWidth="1"/>
    <col min="5" max="5" width="3.453125" customWidth="1"/>
    <col min="6" max="6" width="11.6796875" customWidth="1"/>
    <col min="7" max="7" width="3.453125" customWidth="1"/>
    <col min="8" max="8" width="11.6796875" customWidth="1"/>
    <col min="9" max="9" width="3.453125" customWidth="1"/>
    <col min="10" max="10" width="11.6796875" customWidth="1"/>
  </cols>
  <sheetData>
    <row r="1" spans="1:10" s="13" customFormat="1" ht="15.5" x14ac:dyDescent="0.7">
      <c r="A1" s="157" t="s">
        <v>549</v>
      </c>
      <c r="B1" s="19"/>
      <c r="C1" s="19"/>
      <c r="D1" s="19"/>
      <c r="E1" s="19"/>
      <c r="F1" s="19"/>
      <c r="G1" s="19"/>
      <c r="H1" s="19"/>
      <c r="I1" s="19"/>
      <c r="J1" s="19"/>
    </row>
    <row r="2" spans="1:10" s="13" customFormat="1" ht="15.5" x14ac:dyDescent="0.7">
      <c r="A2" s="158" t="s">
        <v>787</v>
      </c>
      <c r="B2" s="19"/>
      <c r="C2" s="19"/>
      <c r="D2" s="19"/>
      <c r="E2" s="19"/>
      <c r="F2" s="19"/>
      <c r="G2" s="19"/>
      <c r="H2" s="19"/>
      <c r="I2" s="19"/>
      <c r="J2" s="19"/>
    </row>
    <row r="3" spans="1:10" ht="26" x14ac:dyDescent="0.6">
      <c r="B3" s="168" t="s">
        <v>109</v>
      </c>
      <c r="C3" s="168"/>
      <c r="D3" s="169" t="s">
        <v>104</v>
      </c>
      <c r="E3" s="169"/>
      <c r="F3" s="168" t="s">
        <v>110</v>
      </c>
      <c r="G3" s="168"/>
      <c r="H3" s="170" t="s">
        <v>97</v>
      </c>
      <c r="I3" s="170"/>
      <c r="J3" s="171" t="s">
        <v>105</v>
      </c>
    </row>
    <row r="4" spans="1:10" ht="12.75" customHeight="1" x14ac:dyDescent="0.6">
      <c r="A4" s="333"/>
      <c r="B4" s="27"/>
      <c r="C4" s="27"/>
      <c r="D4" s="27"/>
      <c r="E4" s="27"/>
      <c r="F4" s="27"/>
      <c r="G4" s="27"/>
      <c r="H4" s="27"/>
      <c r="I4" s="27"/>
      <c r="J4" s="27"/>
    </row>
    <row r="5" spans="1:10" ht="12.75" customHeight="1" x14ac:dyDescent="0.6">
      <c r="A5" s="493" t="s">
        <v>574</v>
      </c>
      <c r="B5" s="32"/>
      <c r="C5" s="27"/>
      <c r="D5" s="488"/>
      <c r="E5" s="27"/>
      <c r="F5" s="489"/>
      <c r="G5" s="27"/>
      <c r="H5" s="27"/>
      <c r="I5" s="27"/>
      <c r="J5" s="27"/>
    </row>
    <row r="6" spans="1:10" ht="12.75" customHeight="1" x14ac:dyDescent="0.6">
      <c r="A6" s="239" t="s">
        <v>12</v>
      </c>
      <c r="B6" s="32">
        <f>'Table 3.6-PARS RTS Summary'!B10</f>
        <v>23264.365217964081</v>
      </c>
      <c r="C6" s="27"/>
      <c r="D6" s="488">
        <f t="shared" ref="D6:D12" si="0">F6/B6</f>
        <v>0.11599992666097268</v>
      </c>
      <c r="E6" s="27"/>
      <c r="F6" s="489">
        <f>'Table 3.6-PARS RTS Summary'!F10</f>
        <v>2698.6646590979171</v>
      </c>
      <c r="G6" s="27"/>
      <c r="H6" s="134">
        <f t="shared" ref="H6:H12" si="1">B6/$B$38</f>
        <v>1.7294800663917215E-2</v>
      </c>
      <c r="I6" s="27"/>
      <c r="J6" s="500">
        <f t="shared" ref="J6:J11" si="2">D6*H6</f>
        <v>2.0061956086305384E-3</v>
      </c>
    </row>
    <row r="7" spans="1:10" ht="12.75" customHeight="1" x14ac:dyDescent="0.6">
      <c r="A7" s="353" t="s">
        <v>506</v>
      </c>
      <c r="B7" s="32">
        <f>'Table 3.6-PARS RTS Summary'!B18</f>
        <v>222948.953071058</v>
      </c>
      <c r="C7" s="27"/>
      <c r="D7" s="488">
        <f t="shared" si="0"/>
        <v>0.12301200290401222</v>
      </c>
      <c r="E7" s="27"/>
      <c r="F7" s="489">
        <f>'Table 3.6-PARS RTS Summary'!F18</f>
        <v>27425.397262623472</v>
      </c>
      <c r="G7" s="27"/>
      <c r="H7" s="134">
        <f t="shared" si="1"/>
        <v>0.16574093750108421</v>
      </c>
      <c r="I7" s="27"/>
      <c r="J7" s="500">
        <f t="shared" si="2"/>
        <v>2.038812468519708E-2</v>
      </c>
    </row>
    <row r="8" spans="1:10" ht="12.75" customHeight="1" x14ac:dyDescent="0.6">
      <c r="A8" s="353" t="s">
        <v>507</v>
      </c>
      <c r="B8" s="32">
        <f>'Table 3.6-PARS RTS Summary'!B28</f>
        <v>11734.155424792536</v>
      </c>
      <c r="C8" s="27"/>
      <c r="D8" s="488">
        <f t="shared" si="0"/>
        <v>0.20079154936116883</v>
      </c>
      <c r="E8" s="27"/>
      <c r="F8" s="489">
        <f>'Table 3.6-PARS RTS Summary'!F28</f>
        <v>2356.1192481888575</v>
      </c>
      <c r="G8" s="27"/>
      <c r="H8" s="134">
        <f t="shared" si="1"/>
        <v>8.7232072368991758E-3</v>
      </c>
      <c r="I8" s="27"/>
      <c r="J8" s="500">
        <f t="shared" si="2"/>
        <v>1.7515462964955461E-3</v>
      </c>
    </row>
    <row r="9" spans="1:10" ht="12.75" customHeight="1" x14ac:dyDescent="0.6">
      <c r="A9" s="353" t="s">
        <v>510</v>
      </c>
      <c r="B9" s="32">
        <f>'Table 3.6-PARS RTS Summary'!B38</f>
        <v>909019.77936737833</v>
      </c>
      <c r="C9" s="27"/>
      <c r="D9" s="488">
        <f t="shared" si="0"/>
        <v>4.6409140899029498E-2</v>
      </c>
      <c r="E9" s="27"/>
      <c r="F9" s="489">
        <f>'Table 3.6-PARS RTS Summary'!F38</f>
        <v>42186.827020665369</v>
      </c>
      <c r="G9" s="27"/>
      <c r="H9" s="134">
        <f t="shared" si="1"/>
        <v>0.67576810011464494</v>
      </c>
      <c r="I9" s="27"/>
      <c r="J9" s="500">
        <f t="shared" si="2"/>
        <v>3.1361816973290033E-2</v>
      </c>
    </row>
    <row r="10" spans="1:10" ht="12.75" customHeight="1" x14ac:dyDescent="0.6">
      <c r="A10" s="353" t="s">
        <v>508</v>
      </c>
      <c r="B10" s="32">
        <f>'Table 3.6-PARS RTS Summary'!B49</f>
        <v>3891.5165227089001</v>
      </c>
      <c r="C10" s="27"/>
      <c r="D10" s="488">
        <f t="shared" si="0"/>
        <v>8.6915489967956644E-2</v>
      </c>
      <c r="E10" s="27"/>
      <c r="F10" s="494">
        <f>'Table 3.6-PARS RTS Summary'!F49</f>
        <v>338.23306528964292</v>
      </c>
      <c r="G10" s="27"/>
      <c r="H10" s="134">
        <f t="shared" si="1"/>
        <v>2.8929653532356533E-3</v>
      </c>
      <c r="I10" s="27"/>
      <c r="J10" s="500">
        <f t="shared" si="2"/>
        <v>2.514435011367996E-4</v>
      </c>
    </row>
    <row r="11" spans="1:10" ht="12.75" customHeight="1" x14ac:dyDescent="0.6">
      <c r="A11" s="353" t="s">
        <v>509</v>
      </c>
      <c r="B11" s="32">
        <f>'Table 3.6-PARS RTS Summary'!B59</f>
        <v>86793.901396098183</v>
      </c>
      <c r="C11" s="27"/>
      <c r="D11" s="488">
        <f t="shared" si="0"/>
        <v>0.13487177412277904</v>
      </c>
      <c r="E11" s="27"/>
      <c r="F11" s="494">
        <f>'Table 3.6-PARS RTS Summary'!F59</f>
        <v>11706.047464329311</v>
      </c>
      <c r="G11" s="27"/>
      <c r="H11" s="134">
        <f t="shared" si="1"/>
        <v>6.4522853274763342E-2</v>
      </c>
      <c r="I11" s="27"/>
      <c r="J11" s="500">
        <f t="shared" si="2"/>
        <v>8.7023116926310956E-3</v>
      </c>
    </row>
    <row r="12" spans="1:10" ht="12.75" customHeight="1" x14ac:dyDescent="0.6">
      <c r="A12" s="353" t="s">
        <v>102</v>
      </c>
      <c r="B12" s="32">
        <f>SUM(B6:B11)</f>
        <v>1257652.6709999999</v>
      </c>
      <c r="C12" s="27"/>
      <c r="D12" s="488">
        <f t="shared" si="0"/>
        <v>6.8946928448255632E-2</v>
      </c>
      <c r="E12" s="27"/>
      <c r="F12" s="494">
        <f>SUM(F6:F11)</f>
        <v>86711.28872019457</v>
      </c>
      <c r="G12" s="27"/>
      <c r="H12" s="134">
        <f t="shared" si="1"/>
        <v>0.93494286414454442</v>
      </c>
      <c r="I12" s="27"/>
      <c r="J12" s="500">
        <f>SUM(J6:J11)</f>
        <v>6.4461438757381098E-2</v>
      </c>
    </row>
    <row r="13" spans="1:10" ht="5.15" customHeight="1" x14ac:dyDescent="0.6">
      <c r="A13" s="353"/>
      <c r="B13" s="32"/>
      <c r="C13" s="27"/>
      <c r="D13" s="27"/>
      <c r="E13" s="27"/>
      <c r="F13" s="494"/>
      <c r="G13" s="27"/>
      <c r="H13" s="486"/>
      <c r="I13" s="27"/>
      <c r="J13" s="500"/>
    </row>
    <row r="14" spans="1:10" ht="12.75" customHeight="1" x14ac:dyDescent="0.6">
      <c r="A14" s="353" t="s">
        <v>517</v>
      </c>
      <c r="B14" s="32"/>
      <c r="C14" s="27"/>
      <c r="D14" s="27"/>
      <c r="E14" s="27"/>
      <c r="F14" s="494"/>
      <c r="G14" s="27"/>
      <c r="H14" s="486"/>
      <c r="I14" s="27"/>
      <c r="J14" s="500"/>
    </row>
    <row r="15" spans="1:10" ht="12.75" customHeight="1" x14ac:dyDescent="0.6">
      <c r="A15" s="501" t="s">
        <v>320</v>
      </c>
      <c r="B15" s="32">
        <f>'Table 3.6-PARS RTS Summary'!B62</f>
        <v>1257652.6709999999</v>
      </c>
      <c r="C15" s="27"/>
      <c r="D15" s="488">
        <f>F15/B15</f>
        <v>0.39611294705391425</v>
      </c>
      <c r="E15" s="27"/>
      <c r="F15" s="494">
        <f>'Table 3.6-PARS RTS Summary'!F62</f>
        <v>498172.5058800368</v>
      </c>
      <c r="G15" s="27"/>
      <c r="H15" s="134">
        <f>B15/$B$38</f>
        <v>0.93494286414454442</v>
      </c>
      <c r="I15" s="27"/>
      <c r="J15" s="500">
        <f>D15*H15</f>
        <v>0.37034297324332288</v>
      </c>
    </row>
    <row r="16" spans="1:10" ht="12.75" customHeight="1" x14ac:dyDescent="0.6">
      <c r="A16" s="501" t="s">
        <v>99</v>
      </c>
      <c r="B16" s="32">
        <f>'Table 3.6-PARS RTS Summary'!B63</f>
        <v>3901.9205049351399</v>
      </c>
      <c r="C16" s="27"/>
      <c r="D16" s="488">
        <f>F16/B16</f>
        <v>2.8323086898457834</v>
      </c>
      <c r="E16" s="27"/>
      <c r="F16" s="494">
        <f>'Table 3.6-PARS RTS Summary'!F63</f>
        <v>11051.443353215243</v>
      </c>
      <c r="G16" s="27"/>
      <c r="H16" s="134">
        <f>B16/$B$38</f>
        <v>2.900699705625153E-3</v>
      </c>
      <c r="I16" s="27"/>
      <c r="J16" s="500">
        <f>D16*H16</f>
        <v>8.2156769828752273E-3</v>
      </c>
    </row>
    <row r="17" spans="1:10" ht="12.75" customHeight="1" x14ac:dyDescent="0.6">
      <c r="A17" s="501" t="s">
        <v>100</v>
      </c>
      <c r="B17" s="32">
        <f>'Table 3.6-PARS RTS Summary'!B64</f>
        <v>3229.61107492266</v>
      </c>
      <c r="C17" s="27"/>
      <c r="D17" s="488">
        <f>F17/B17</f>
        <v>0.90047096221188039</v>
      </c>
      <c r="E17" s="27"/>
      <c r="F17" s="494">
        <f>'Table 3.6-PARS RTS Summary'!F64</f>
        <v>2908.170992205753</v>
      </c>
      <c r="G17" s="27"/>
      <c r="H17" s="134">
        <f>B17/$B$38</f>
        <v>2.400902807338874E-3</v>
      </c>
      <c r="I17" s="27"/>
      <c r="J17" s="500">
        <f>D17*H17</f>
        <v>2.1619432611016407E-3</v>
      </c>
    </row>
    <row r="18" spans="1:10" ht="12.75" customHeight="1" x14ac:dyDescent="0.6">
      <c r="A18" s="502" t="s">
        <v>210</v>
      </c>
      <c r="B18" s="32">
        <f>'Table 3.6-PARS RTS Summary'!B65</f>
        <v>370.87366251681919</v>
      </c>
      <c r="C18" s="27"/>
      <c r="D18" s="488">
        <f>F18/B18</f>
        <v>0.47544155968083035</v>
      </c>
      <c r="E18" s="27"/>
      <c r="F18" s="494">
        <f>'Table 3.6-PARS RTS Summary'!F65</f>
        <v>176.32875255153843</v>
      </c>
      <c r="G18" s="27"/>
      <c r="H18" s="134">
        <f>B18/$B$38</f>
        <v>2.7570862151753199E-4</v>
      </c>
      <c r="I18" s="27"/>
      <c r="J18" s="500">
        <f>D18*H18</f>
        <v>1.3108333703174715E-4</v>
      </c>
    </row>
    <row r="19" spans="1:10" ht="12.75" customHeight="1" x14ac:dyDescent="0.6">
      <c r="A19" s="503" t="s">
        <v>102</v>
      </c>
      <c r="B19" s="32">
        <f>B15</f>
        <v>1257652.6709999999</v>
      </c>
      <c r="C19" s="27"/>
      <c r="D19" s="488">
        <f>F19/B19</f>
        <v>0.40735288906964784</v>
      </c>
      <c r="E19" s="27"/>
      <c r="F19" s="494">
        <f>SUM(F15:F18)</f>
        <v>512308.44897800928</v>
      </c>
      <c r="G19" s="27"/>
      <c r="H19" s="134">
        <f>B19/$B$38</f>
        <v>0.93494286414454442</v>
      </c>
      <c r="I19" s="27"/>
      <c r="J19" s="500">
        <f>SUM(J15:J18)</f>
        <v>0.38085167682433152</v>
      </c>
    </row>
    <row r="20" spans="1:10" ht="5.15" customHeight="1" x14ac:dyDescent="0.6">
      <c r="A20" s="353"/>
      <c r="B20" s="32"/>
      <c r="C20" s="27"/>
      <c r="D20" s="27"/>
      <c r="E20" s="27"/>
      <c r="F20" s="494"/>
      <c r="G20" s="27"/>
      <c r="H20" s="486"/>
      <c r="I20" s="27"/>
      <c r="J20" s="500"/>
    </row>
    <row r="21" spans="1:10" ht="12.75" customHeight="1" x14ac:dyDescent="0.6">
      <c r="A21" s="353" t="s">
        <v>504</v>
      </c>
      <c r="B21" s="32">
        <f>B12</f>
        <v>1257652.6709999999</v>
      </c>
      <c r="C21" s="27"/>
      <c r="D21" s="488">
        <f>F21/B21</f>
        <v>0.47629981751790351</v>
      </c>
      <c r="E21" s="27"/>
      <c r="F21" s="494">
        <f>SUM(F12,F19)</f>
        <v>599019.73769820388</v>
      </c>
      <c r="G21" s="27"/>
      <c r="H21" s="134">
        <f>B21/$B$38</f>
        <v>0.93494286414454442</v>
      </c>
      <c r="I21" s="27"/>
      <c r="J21" s="500">
        <f>J12+J19</f>
        <v>0.4453131155817126</v>
      </c>
    </row>
    <row r="22" spans="1:10" ht="12.75" customHeight="1" x14ac:dyDescent="0.6">
      <c r="A22" s="241"/>
      <c r="B22" s="32"/>
      <c r="C22" s="27"/>
      <c r="D22" s="27"/>
      <c r="E22" s="27"/>
      <c r="F22" s="494"/>
      <c r="G22" s="27"/>
      <c r="H22" s="486"/>
      <c r="I22" s="27"/>
      <c r="J22" s="500"/>
    </row>
    <row r="23" spans="1:10" ht="12.75" customHeight="1" x14ac:dyDescent="0.6">
      <c r="A23" s="333" t="s">
        <v>479</v>
      </c>
      <c r="B23" s="32"/>
      <c r="C23" s="27"/>
      <c r="D23" s="488"/>
      <c r="E23" s="27"/>
      <c r="F23" s="489"/>
      <c r="G23" s="27"/>
      <c r="H23" s="486"/>
      <c r="I23" s="27"/>
      <c r="J23" s="500"/>
    </row>
    <row r="24" spans="1:10" ht="12.75" customHeight="1" x14ac:dyDescent="0.6">
      <c r="A24" s="353" t="s">
        <v>519</v>
      </c>
      <c r="B24" s="32">
        <f>'Table 3.7-NonPARS RTS Summary'!B8</f>
        <v>50637.000534323401</v>
      </c>
      <c r="C24" s="27"/>
      <c r="D24" s="488">
        <f>F24/B24</f>
        <v>0.50767023249069032</v>
      </c>
      <c r="E24" s="27"/>
      <c r="F24" s="489">
        <f>'Table 3.7-NonPARS RTS Summary'!F8</f>
        <v>25706.897833891169</v>
      </c>
      <c r="G24" s="27"/>
      <c r="H24" s="134">
        <f>B24/$B$38</f>
        <v>3.7643701955966467E-2</v>
      </c>
      <c r="I24" s="27"/>
      <c r="J24" s="500">
        <f>D24*H24</f>
        <v>1.9110586923795751E-2</v>
      </c>
    </row>
    <row r="25" spans="1:10" ht="12.75" customHeight="1" x14ac:dyDescent="0.6">
      <c r="A25" s="353" t="s">
        <v>521</v>
      </c>
      <c r="B25" s="32">
        <f>'Table 3.7-NonPARS RTS Summary'!B14</f>
        <v>29063.081233870489</v>
      </c>
      <c r="C25" s="27"/>
      <c r="D25" s="488">
        <f>F25/B25</f>
        <v>0.41658690508310042</v>
      </c>
      <c r="E25" s="27"/>
      <c r="F25" s="494">
        <f>'Table 3.7-NonPARS RTS Summary'!F14</f>
        <v>12107.299063396842</v>
      </c>
      <c r="G25" s="27"/>
      <c r="H25" s="134">
        <f>B25/$B$38</f>
        <v>2.160558398691656E-2</v>
      </c>
      <c r="I25" s="27"/>
      <c r="J25" s="500">
        <f>D25*H25</f>
        <v>9.0006033656225629E-3</v>
      </c>
    </row>
    <row r="26" spans="1:10" ht="12.75" customHeight="1" x14ac:dyDescent="0.6">
      <c r="A26" s="353" t="s">
        <v>522</v>
      </c>
      <c r="B26" s="32">
        <f>'Table 3.7-NonPARS RTS Summary'!B20</f>
        <v>7812.5180002280385</v>
      </c>
      <c r="C26" s="27"/>
      <c r="D26" s="488">
        <f>F26/B26</f>
        <v>0.11266659136155956</v>
      </c>
      <c r="E26" s="27"/>
      <c r="F26" s="494">
        <f>'Table 3.7-NonPARS RTS Summary'!F20</f>
        <v>880.20977303652091</v>
      </c>
      <c r="G26" s="27"/>
      <c r="H26" s="134">
        <f>B26/$B$38</f>
        <v>5.8078499125725725E-3</v>
      </c>
      <c r="I26" s="27"/>
      <c r="J26" s="500">
        <f>D26*H26</f>
        <v>6.5435065278908347E-4</v>
      </c>
    </row>
    <row r="27" spans="1:10" ht="12.75" customHeight="1" x14ac:dyDescent="0.6">
      <c r="A27" s="353" t="s">
        <v>102</v>
      </c>
      <c r="B27" s="32">
        <f>SUM(B24:B26)</f>
        <v>87512.599768421933</v>
      </c>
      <c r="C27" s="27"/>
      <c r="D27" s="488">
        <f>F27/B27</f>
        <v>0.44215812091880091</v>
      </c>
      <c r="E27" s="27"/>
      <c r="F27" s="494">
        <f>SUM(F24:F26)</f>
        <v>38694.406670324533</v>
      </c>
      <c r="G27" s="27"/>
      <c r="H27" s="134">
        <f>B27/$B$38</f>
        <v>6.5057135855455597E-2</v>
      </c>
      <c r="I27" s="27"/>
      <c r="J27" s="500">
        <f>SUM(J24:J26)</f>
        <v>2.8765540942207398E-2</v>
      </c>
    </row>
    <row r="28" spans="1:10" ht="5.15" customHeight="1" x14ac:dyDescent="0.6">
      <c r="A28" s="353"/>
      <c r="B28" s="32"/>
      <c r="C28" s="27"/>
      <c r="D28" s="488"/>
      <c r="E28" s="27"/>
      <c r="F28" s="494"/>
      <c r="G28" s="27"/>
      <c r="H28" s="486"/>
      <c r="I28" s="27"/>
      <c r="J28" s="500"/>
    </row>
    <row r="29" spans="1:10" ht="12.75" customHeight="1" x14ac:dyDescent="0.6">
      <c r="A29" s="353" t="s">
        <v>517</v>
      </c>
      <c r="B29" s="32"/>
      <c r="C29" s="27"/>
      <c r="D29" s="488"/>
      <c r="E29" s="27"/>
      <c r="F29" s="494"/>
      <c r="G29" s="27"/>
      <c r="H29" s="486"/>
      <c r="I29" s="27"/>
      <c r="J29" s="500"/>
    </row>
    <row r="30" spans="1:10" ht="12.75" customHeight="1" x14ac:dyDescent="0.6">
      <c r="A30" s="501" t="s">
        <v>320</v>
      </c>
      <c r="B30" s="32">
        <f>'Table 3.7-NonPARS RTS Summary'!B23</f>
        <v>87512.599768421933</v>
      </c>
      <c r="C30" s="27"/>
      <c r="D30" s="488">
        <f>F30/B30</f>
        <v>2.4750672521798966</v>
      </c>
      <c r="E30" s="27"/>
      <c r="F30" s="494">
        <f>'Table 3.7-NonPARS RTS Summary'!F23</f>
        <v>216599.56983994713</v>
      </c>
      <c r="G30" s="27"/>
      <c r="H30" s="134">
        <f>B30/$B$38</f>
        <v>6.5057135855455597E-2</v>
      </c>
      <c r="I30" s="27"/>
      <c r="J30" s="500">
        <f>D30*H30</f>
        <v>0.16102078647645671</v>
      </c>
    </row>
    <row r="31" spans="1:10" ht="12.75" customHeight="1" x14ac:dyDescent="0.6">
      <c r="A31" s="501" t="s">
        <v>99</v>
      </c>
      <c r="B31" s="32">
        <f>'Table 3.7-NonPARS RTS Summary'!B24</f>
        <v>8706.0236236542969</v>
      </c>
      <c r="C31" s="27"/>
      <c r="D31" s="488">
        <f>F31/B31</f>
        <v>2.8323086898457834</v>
      </c>
      <c r="E31" s="27"/>
      <c r="F31" s="494">
        <f>'Table 3.7-NonPARS RTS Summary'!F24</f>
        <v>24658.146363278742</v>
      </c>
      <c r="G31" s="27"/>
      <c r="H31" s="134">
        <f>B31/$B$38</f>
        <v>6.472084741439248E-3</v>
      </c>
      <c r="I31" s="27"/>
      <c r="J31" s="500">
        <f>D31*H31</f>
        <v>1.8330941854596682E-2</v>
      </c>
    </row>
    <row r="32" spans="1:10" ht="12.75" customHeight="1" x14ac:dyDescent="0.6">
      <c r="A32" s="501" t="s">
        <v>100</v>
      </c>
      <c r="B32" s="32">
        <f>'Table 3.7-NonPARS RTS Summary'!B25</f>
        <v>6079.5801263181629</v>
      </c>
      <c r="C32" s="27"/>
      <c r="D32" s="488">
        <f>F32/B32</f>
        <v>0.90047096221188039</v>
      </c>
      <c r="E32" s="27"/>
      <c r="F32" s="494">
        <f>'Table 3.7-NonPARS RTS Summary'!F25</f>
        <v>5474.4853661899415</v>
      </c>
      <c r="G32" s="27"/>
      <c r="H32" s="134">
        <f>B32/$B$38</f>
        <v>4.519578566613767E-3</v>
      </c>
      <c r="I32" s="27"/>
      <c r="J32" s="500">
        <f>D32*H32</f>
        <v>4.0697492606708895E-3</v>
      </c>
    </row>
    <row r="33" spans="1:11" ht="12.75" customHeight="1" x14ac:dyDescent="0.6">
      <c r="A33" s="502" t="s">
        <v>210</v>
      </c>
      <c r="B33" s="32">
        <f>'Table 3.7-NonPARS RTS Summary'!B26</f>
        <v>1238.6255390094914</v>
      </c>
      <c r="C33" s="27"/>
      <c r="D33" s="488">
        <f>F33/B33</f>
        <v>0.47544155968083035</v>
      </c>
      <c r="E33" s="27"/>
      <c r="F33" s="494">
        <f>'Table 3.7-NonPARS RTS Summary'!F26</f>
        <v>588.89405812718178</v>
      </c>
      <c r="G33" s="27"/>
      <c r="H33" s="134">
        <f>B33/$B$38</f>
        <v>9.2079803569559168E-4</v>
      </c>
      <c r="I33" s="27"/>
      <c r="J33" s="500">
        <f>D33*H33</f>
        <v>4.3778565424215703E-4</v>
      </c>
    </row>
    <row r="34" spans="1:11" ht="12.75" customHeight="1" x14ac:dyDescent="0.6">
      <c r="A34" s="503" t="s">
        <v>102</v>
      </c>
      <c r="B34" s="32">
        <f>B30</f>
        <v>87512.599768421933</v>
      </c>
      <c r="C34" s="27"/>
      <c r="D34" s="488">
        <f>F34/B34</f>
        <v>2.8261198533926586</v>
      </c>
      <c r="E34" s="27"/>
      <c r="F34" s="494">
        <f>SUM(F30:F33)</f>
        <v>247321.09562754299</v>
      </c>
      <c r="G34" s="27"/>
      <c r="H34" s="134">
        <f>B34/$B$38</f>
        <v>6.5057135855455597E-2</v>
      </c>
      <c r="I34" s="27"/>
      <c r="J34" s="500">
        <f>SUM(J30:J33)</f>
        <v>0.18385926324596644</v>
      </c>
    </row>
    <row r="35" spans="1:11" ht="5.15" customHeight="1" x14ac:dyDescent="0.6">
      <c r="A35" s="353"/>
      <c r="B35" s="32"/>
      <c r="C35" s="27"/>
      <c r="D35" s="488"/>
      <c r="E35" s="27"/>
      <c r="F35" s="494"/>
      <c r="G35" s="27"/>
      <c r="H35" s="486"/>
      <c r="I35" s="27"/>
      <c r="J35" s="500"/>
    </row>
    <row r="36" spans="1:11" ht="12.75" customHeight="1" x14ac:dyDescent="0.6">
      <c r="A36" s="239" t="s">
        <v>494</v>
      </c>
      <c r="B36" s="32">
        <f>B27</f>
        <v>87512.599768421933</v>
      </c>
      <c r="C36" s="27"/>
      <c r="D36" s="488">
        <f>F36/B36</f>
        <v>3.2682779743114598</v>
      </c>
      <c r="E36" s="27"/>
      <c r="F36" s="494">
        <f>SUM(F27,F34)</f>
        <v>286015.50229786756</v>
      </c>
      <c r="G36" s="27"/>
      <c r="H36" s="134">
        <f>B36/$B$38</f>
        <v>6.5057135855455597E-2</v>
      </c>
      <c r="I36" s="27"/>
      <c r="J36" s="500">
        <f>J27+J34</f>
        <v>0.21262480418817384</v>
      </c>
    </row>
    <row r="37" spans="1:11" ht="12.75" customHeight="1" x14ac:dyDescent="0.6">
      <c r="A37" s="353"/>
      <c r="B37" s="32"/>
      <c r="C37" s="27"/>
      <c r="D37" s="488"/>
      <c r="E37" s="27"/>
      <c r="F37" s="494"/>
      <c r="G37" s="27"/>
      <c r="H37" s="486"/>
      <c r="I37" s="27"/>
      <c r="J37" s="500"/>
    </row>
    <row r="38" spans="1:11" ht="12.75" customHeight="1" x14ac:dyDescent="0.6">
      <c r="A38" s="480" t="s">
        <v>269</v>
      </c>
      <c r="B38" s="505">
        <f>SUM(B21,B36)</f>
        <v>1345165.2707684217</v>
      </c>
      <c r="C38" s="506"/>
      <c r="D38" s="507"/>
      <c r="E38" s="506"/>
      <c r="F38" s="508">
        <f>SUM(F21,F36)</f>
        <v>885035.23999607144</v>
      </c>
      <c r="G38" s="506"/>
      <c r="H38" s="509"/>
      <c r="I38" s="506"/>
      <c r="J38" s="507">
        <f>SUM(J21,J36)</f>
        <v>0.65793791976988647</v>
      </c>
    </row>
    <row r="39" spans="1:11" ht="12.75" customHeight="1" x14ac:dyDescent="0.6">
      <c r="A39" s="491"/>
      <c r="B39" s="32"/>
      <c r="C39" s="27"/>
      <c r="D39" s="27"/>
      <c r="E39" s="27"/>
      <c r="F39" s="27"/>
      <c r="G39" s="27"/>
      <c r="H39" s="27"/>
      <c r="I39" s="27"/>
      <c r="J39" s="27"/>
    </row>
    <row r="40" spans="1:11" ht="12.75" hidden="1" customHeight="1" x14ac:dyDescent="0.6">
      <c r="A40" s="491"/>
      <c r="B40" s="492"/>
      <c r="C40" s="151"/>
      <c r="D40" s="151"/>
      <c r="E40" s="151"/>
      <c r="F40" s="485"/>
      <c r="G40" s="151"/>
      <c r="H40" s="486"/>
      <c r="I40" s="151"/>
      <c r="J40" s="151"/>
    </row>
    <row r="41" spans="1:11" ht="12.75" hidden="1" customHeight="1" x14ac:dyDescent="0.6">
      <c r="A41" s="14" t="s">
        <v>191</v>
      </c>
      <c r="B41" s="143">
        <v>0</v>
      </c>
      <c r="C41" s="151"/>
      <c r="D41" s="492"/>
      <c r="E41" s="151"/>
      <c r="F41" s="485"/>
      <c r="G41" s="482" t="s">
        <v>311</v>
      </c>
      <c r="H41" s="504">
        <f>SUM('Table 3.14-Route UAA'!J99:J100,'Table 3.14-Route UAA'!J107)</f>
        <v>82120.140233124926</v>
      </c>
      <c r="I41" s="151"/>
      <c r="J41" s="492">
        <f>'Table 3.6-PARS RTS Summary'!J71+'Table 3.7-NonPARS RTS Summary'!J32</f>
        <v>82120.140233124926</v>
      </c>
      <c r="K41" s="143">
        <f t="shared" ref="K41:K48" si="3">H41-J41</f>
        <v>0</v>
      </c>
    </row>
    <row r="42" spans="1:11" ht="12.75" hidden="1" customHeight="1" x14ac:dyDescent="0.6">
      <c r="A42" s="487"/>
      <c r="B42" s="143">
        <v>0</v>
      </c>
      <c r="C42" s="27"/>
      <c r="D42" s="488"/>
      <c r="E42" s="27"/>
      <c r="F42" s="485"/>
      <c r="G42" s="46" t="s">
        <v>312</v>
      </c>
      <c r="H42" s="504">
        <f>SUM('Table 3.18-Nixie UAA'!I7,'Table 3.18-Nixie UAA'!I9:I10,'Table 3.18-Nixie UAA'!I16,'Table 3.18-Nixie UAA'!I19,'Table 3.18-Nixie UAA'!I25:I25,'Table 3.18-Nixie UAA'!I28,'Table 3.18-Nixie UAA'!I33:I34,'Table 3.18-Nixie UAA'!I36)+SUM('Table 3.31-Rating Post Due'!H8,'Table 3.31-Rating Post Due'!H13,'Table 3.31-Rating Post Due'!H25)</f>
        <v>33688.87962264863</v>
      </c>
      <c r="I42" s="151"/>
      <c r="J42" s="492">
        <f>'Table 3.6-PARS RTS Summary'!J72+'Table 3.7-NonPARS RTS Summary'!J33</f>
        <v>33688.87962264863</v>
      </c>
      <c r="K42" s="143">
        <f t="shared" si="3"/>
        <v>0</v>
      </c>
    </row>
    <row r="43" spans="1:11" ht="12.75" hidden="1" customHeight="1" x14ac:dyDescent="0.6">
      <c r="A43" s="487"/>
      <c r="B43" s="143">
        <v>0</v>
      </c>
      <c r="C43" s="27"/>
      <c r="D43" s="488"/>
      <c r="E43" s="27"/>
      <c r="F43" s="485"/>
      <c r="G43" s="46" t="s">
        <v>313</v>
      </c>
      <c r="H43" s="504">
        <f>SUM('Table 3.20-CFS Non-CIOSS'!H14,'Table 3.20-CFS Non-CIOSS'!H50,'Table 3.20-CFS Non-CIOSS'!H71,'Table 3.21-CFS CIOSS Rejs'!H14,'Table 3.21-CFS CIOSS Rejs'!H71)</f>
        <v>13495.418427209024</v>
      </c>
      <c r="I43" s="151"/>
      <c r="J43" s="492">
        <f>'Table 3.6-PARS RTS Summary'!J73+'Table 3.7-NonPARS RTS Summary'!J34</f>
        <v>13495.418427209024</v>
      </c>
      <c r="K43" s="143">
        <f t="shared" si="3"/>
        <v>0</v>
      </c>
    </row>
    <row r="44" spans="1:11" ht="12.75" hidden="1" customHeight="1" x14ac:dyDescent="0.6">
      <c r="A44" s="487"/>
      <c r="B44" s="32"/>
      <c r="C44" s="27"/>
      <c r="D44" s="488"/>
      <c r="E44" s="27"/>
      <c r="F44" s="485"/>
      <c r="G44" s="483" t="s">
        <v>502</v>
      </c>
      <c r="H44" s="504">
        <f>SUM('Table 3.23-CIOSS Summary'!I5,'Table 3.23-CIOSS Summary'!I9,'Table 3.23-CIOSS Summary'!I12)</f>
        <v>-7856.0797521657341</v>
      </c>
      <c r="I44" s="151"/>
      <c r="J44" s="492">
        <f>'Table 3.6-PARS RTS Summary'!J74</f>
        <v>-7856.0797521657387</v>
      </c>
      <c r="K44" s="143">
        <f t="shared" si="3"/>
        <v>0</v>
      </c>
    </row>
    <row r="45" spans="1:11" ht="12.75" hidden="1" customHeight="1" x14ac:dyDescent="0.6">
      <c r="A45" s="499"/>
      <c r="B45" s="32"/>
      <c r="C45" s="27"/>
      <c r="D45" s="488"/>
      <c r="E45" s="27"/>
      <c r="F45" s="485"/>
      <c r="G45" s="483" t="s">
        <v>503</v>
      </c>
      <c r="H45" s="504">
        <f>SUM('Table 3.25-REC Summary'!K5,'Table 3.25-REC Summary'!K9,'Table 3.25-REC Summary'!K12)</f>
        <v>3957.3368597022641</v>
      </c>
      <c r="I45" s="151"/>
      <c r="J45" s="492">
        <f>'Table 3.6-PARS RTS Summary'!J75</f>
        <v>3957.3368597022636</v>
      </c>
      <c r="K45" s="143">
        <f t="shared" si="3"/>
        <v>0</v>
      </c>
    </row>
    <row r="46" spans="1:11" ht="12.75" hidden="1" customHeight="1" x14ac:dyDescent="0.6">
      <c r="A46" s="491"/>
      <c r="B46" s="492"/>
      <c r="C46" s="151"/>
      <c r="D46" s="488"/>
      <c r="E46" s="151"/>
      <c r="F46" s="489"/>
      <c r="G46" s="67" t="s">
        <v>518</v>
      </c>
      <c r="H46" s="504">
        <f>'Table 3.6-PARS RTS Summary'!H76+'Table 3.7-NonPARS RTS Summary'!H35</f>
        <v>714772.0757199839</v>
      </c>
      <c r="I46" s="151"/>
      <c r="J46" s="492">
        <f>'Table 3.6-PARS RTS Summary'!J76+'Table 3.7-NonPARS RTS Summary'!J35</f>
        <v>714772.0757199839</v>
      </c>
      <c r="K46" s="143">
        <f t="shared" si="3"/>
        <v>0</v>
      </c>
    </row>
    <row r="47" spans="1:11" ht="12.75" hidden="1" customHeight="1" x14ac:dyDescent="0.6">
      <c r="A47" s="493"/>
      <c r="B47" s="492"/>
      <c r="C47" s="151"/>
      <c r="D47" s="488"/>
      <c r="E47" s="151"/>
      <c r="F47" s="489"/>
      <c r="G47" s="67" t="s">
        <v>315</v>
      </c>
      <c r="H47" s="504">
        <f>SUM('Table 3.32-Accounting Post Due'!D10:D11)*'Table 3.32-Accounting Post Due'!F10+SUM('Table 3.33-Delivery Post Due'!D14:D18)*'Table 3.33-Delivery Post Due'!F14+SUM('Table 3.34-Window Post Due'!D10:D11)*'Table 3.34-Window Post Due'!F10</f>
        <v>44857.4688855684</v>
      </c>
      <c r="I47" s="151"/>
      <c r="J47" s="492">
        <f>'Table 3.6-PARS RTS Summary'!J77+'Table 3.7-NonPARS RTS Summary'!J36</f>
        <v>44857.4688855684</v>
      </c>
      <c r="K47" s="143">
        <f t="shared" si="3"/>
        <v>0</v>
      </c>
    </row>
    <row r="48" spans="1:11" ht="12.75" hidden="1" customHeight="1" x14ac:dyDescent="0.6">
      <c r="A48" s="493"/>
      <c r="B48" s="492"/>
      <c r="C48" s="151"/>
      <c r="D48" s="488"/>
      <c r="E48" s="151"/>
      <c r="F48" s="489"/>
      <c r="G48" s="46" t="s">
        <v>314</v>
      </c>
      <c r="H48" s="492">
        <f>SUM(H41:H47)</f>
        <v>885035.23999607144</v>
      </c>
      <c r="I48" s="151"/>
      <c r="J48" s="492">
        <f>SUM(J41:J47)</f>
        <v>885035.23999607144</v>
      </c>
      <c r="K48" s="143">
        <f t="shared" si="3"/>
        <v>0</v>
      </c>
    </row>
    <row r="49" spans="1:10" ht="12.75" customHeight="1" x14ac:dyDescent="0.6">
      <c r="A49" s="493"/>
      <c r="B49" s="492"/>
      <c r="C49" s="151"/>
      <c r="D49" s="488"/>
      <c r="E49" s="151"/>
      <c r="F49" s="489"/>
      <c r="G49" s="151"/>
      <c r="H49" s="486"/>
      <c r="I49" s="151"/>
      <c r="J49" s="151"/>
    </row>
    <row r="50" spans="1:10" x14ac:dyDescent="0.6">
      <c r="A50" s="317"/>
      <c r="B50" s="317"/>
      <c r="C50" s="317"/>
      <c r="D50" s="317"/>
      <c r="E50" s="317"/>
      <c r="F50" s="317"/>
      <c r="G50" s="27"/>
      <c r="H50" s="240"/>
      <c r="I50" s="27"/>
      <c r="J50" s="27"/>
    </row>
    <row r="51" spans="1:10" x14ac:dyDescent="0.6">
      <c r="A51" s="284" t="s">
        <v>235</v>
      </c>
    </row>
    <row r="52" spans="1:10" x14ac:dyDescent="0.6">
      <c r="A52" s="241" t="s">
        <v>603</v>
      </c>
      <c r="D52" s="12"/>
    </row>
    <row r="53" spans="1:10" x14ac:dyDescent="0.6">
      <c r="A53" s="241" t="s">
        <v>604</v>
      </c>
      <c r="D53" s="12"/>
    </row>
    <row r="54" spans="1:10" x14ac:dyDescent="0.6">
      <c r="A54" s="284"/>
      <c r="D54" s="12"/>
    </row>
    <row r="55" spans="1:10" x14ac:dyDescent="0.6">
      <c r="A55" s="241"/>
    </row>
    <row r="56" spans="1:10" x14ac:dyDescent="0.6">
      <c r="A56" s="241"/>
    </row>
  </sheetData>
  <phoneticPr fontId="5" type="noConversion"/>
  <printOptions horizontalCentered="1"/>
  <pageMargins left="0.75" right="0.75" top="1" bottom="1" header="0.5" footer="0.5"/>
  <pageSetup scale="89" orientation="landscape" r:id="rId1"/>
  <headerFooter alignWithMargins="0">
    <oddFooter>&amp;L&amp;F</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L93"/>
  <sheetViews>
    <sheetView zoomScale="70" zoomScaleNormal="70" workbookViewId="0"/>
  </sheetViews>
  <sheetFormatPr defaultRowHeight="13" x14ac:dyDescent="0.6"/>
  <cols>
    <col min="1" max="1" width="50" customWidth="1"/>
    <col min="2" max="2" width="11.6796875" customWidth="1"/>
    <col min="3" max="3" width="3.54296875" customWidth="1"/>
    <col min="4" max="4" width="11.6796875" customWidth="1"/>
    <col min="5" max="5" width="3.54296875" customWidth="1"/>
    <col min="6" max="6" width="11.6796875" customWidth="1"/>
    <col min="7" max="7" width="3.54296875" customWidth="1"/>
    <col min="8" max="8" width="11.6796875" customWidth="1"/>
    <col min="9" max="9" width="3.453125" customWidth="1"/>
    <col min="10" max="10" width="11.6796875" customWidth="1"/>
  </cols>
  <sheetData>
    <row r="1" spans="1:12" s="13" customFormat="1" ht="15.75" customHeight="1" x14ac:dyDescent="0.7">
      <c r="A1" s="157" t="s">
        <v>18</v>
      </c>
      <c r="B1" s="19"/>
      <c r="C1" s="19"/>
      <c r="D1" s="19"/>
      <c r="E1" s="19"/>
      <c r="F1" s="19"/>
      <c r="G1" s="19"/>
      <c r="H1" s="19"/>
      <c r="I1" s="19"/>
      <c r="J1" s="19"/>
    </row>
    <row r="2" spans="1:12" s="13" customFormat="1" ht="15.5" x14ac:dyDescent="0.7">
      <c r="A2" s="158" t="s">
        <v>787</v>
      </c>
      <c r="B2" s="19"/>
      <c r="C2" s="19"/>
      <c r="D2" s="19"/>
      <c r="E2" s="19"/>
      <c r="F2" s="19"/>
      <c r="G2" s="19"/>
      <c r="H2" s="19"/>
      <c r="I2" s="19"/>
      <c r="J2" s="19"/>
    </row>
    <row r="3" spans="1:12" ht="25.5" customHeight="1" x14ac:dyDescent="0.6">
      <c r="B3" s="168" t="s">
        <v>109</v>
      </c>
      <c r="C3" s="168"/>
      <c r="D3" s="169" t="s">
        <v>104</v>
      </c>
      <c r="E3" s="169"/>
      <c r="F3" s="168" t="s">
        <v>110</v>
      </c>
      <c r="G3" s="168"/>
      <c r="H3" s="170" t="s">
        <v>97</v>
      </c>
      <c r="I3" s="170"/>
      <c r="J3" s="171" t="s">
        <v>105</v>
      </c>
    </row>
    <row r="4" spans="1:12" x14ac:dyDescent="0.6">
      <c r="A4" s="333" t="s">
        <v>778</v>
      </c>
    </row>
    <row r="5" spans="1:12" x14ac:dyDescent="0.6">
      <c r="A5" s="353" t="s">
        <v>481</v>
      </c>
      <c r="B5" s="32">
        <f>'Table 3.24-CIOSS Detail'!E12</f>
        <v>23264.365217964081</v>
      </c>
      <c r="C5" s="241" t="s">
        <v>244</v>
      </c>
      <c r="D5" s="488">
        <f>F5/B5</f>
        <v>6.1901874930672243E-2</v>
      </c>
      <c r="E5" s="27"/>
      <c r="F5" s="489">
        <f>'Table 3.24-CIOSS Detail'!K12</f>
        <v>1440.107826063894</v>
      </c>
      <c r="G5" s="241" t="s">
        <v>244</v>
      </c>
      <c r="H5" s="358">
        <f>B5/$B$68</f>
        <v>1.8498243397730662E-2</v>
      </c>
      <c r="J5" s="551">
        <f>D5*H5</f>
        <v>1.145075949243457E-3</v>
      </c>
    </row>
    <row r="6" spans="1:12" x14ac:dyDescent="0.6">
      <c r="A6" s="353" t="s">
        <v>95</v>
      </c>
      <c r="B6" s="32">
        <f>'Table 3.28-REC Volume'!G12</f>
        <v>8840.458782826352</v>
      </c>
      <c r="C6" s="241" t="s">
        <v>582</v>
      </c>
      <c r="D6" s="488">
        <f>F6/B6</f>
        <v>0</v>
      </c>
      <c r="E6" s="27"/>
      <c r="F6" s="489">
        <v>0</v>
      </c>
      <c r="H6" s="358">
        <f>B6/$B$68</f>
        <v>7.0293324911376532E-3</v>
      </c>
      <c r="J6" s="551">
        <f>D6*H6</f>
        <v>0</v>
      </c>
    </row>
    <row r="7" spans="1:12" x14ac:dyDescent="0.6">
      <c r="A7" s="239" t="s">
        <v>499</v>
      </c>
      <c r="B7" s="32">
        <f>'Table 3.28-REC Volume'!H12</f>
        <v>13260.688174239525</v>
      </c>
      <c r="C7" s="241" t="s">
        <v>582</v>
      </c>
      <c r="D7" s="488">
        <f>F7/B7</f>
        <v>8.3489938589580218E-2</v>
      </c>
      <c r="E7" s="27"/>
      <c r="F7" s="489">
        <f>'Table 3.26-REC Detail NonACS'!K12</f>
        <v>1107.1340413228306</v>
      </c>
      <c r="G7" s="12" t="s">
        <v>590</v>
      </c>
      <c r="H7" s="358">
        <f>B7/$B$68</f>
        <v>1.0543998736706478E-2</v>
      </c>
      <c r="J7" s="551">
        <f>D7*H7</f>
        <v>8.8031780701623523E-4</v>
      </c>
    </row>
    <row r="8" spans="1:12" x14ac:dyDescent="0.6">
      <c r="A8" s="239" t="s">
        <v>677</v>
      </c>
      <c r="B8" s="32">
        <v>0</v>
      </c>
      <c r="C8" s="27"/>
      <c r="D8" s="488">
        <v>0</v>
      </c>
      <c r="E8" s="27"/>
      <c r="F8" s="494">
        <v>0</v>
      </c>
      <c r="H8" s="358">
        <f>B8/$B$68</f>
        <v>0</v>
      </c>
      <c r="J8" s="551">
        <f>D8*H8</f>
        <v>0</v>
      </c>
    </row>
    <row r="9" spans="1:12" x14ac:dyDescent="0.6">
      <c r="A9" s="239" t="s">
        <v>488</v>
      </c>
      <c r="B9" s="32">
        <v>1163.2182608982039</v>
      </c>
      <c r="C9" s="241" t="s">
        <v>586</v>
      </c>
      <c r="D9" s="488">
        <f>'Table 3.18-Nixie UAA'!J33</f>
        <v>0.13017573468479454</v>
      </c>
      <c r="E9" s="12" t="s">
        <v>587</v>
      </c>
      <c r="F9" s="489">
        <f>B9*D9</f>
        <v>151.4227917111927</v>
      </c>
      <c r="H9" s="358">
        <f>B9/$B$68</f>
        <v>9.2491216988653297E-4</v>
      </c>
      <c r="J9" s="551">
        <f>D9*H9</f>
        <v>1.2040112123388693E-4</v>
      </c>
      <c r="K9" s="6"/>
      <c r="L9" s="6"/>
    </row>
    <row r="10" spans="1:12" x14ac:dyDescent="0.6">
      <c r="A10" s="82" t="s">
        <v>102</v>
      </c>
      <c r="B10" s="32">
        <f>B5</f>
        <v>23264.365217964081</v>
      </c>
      <c r="C10" s="27"/>
      <c r="D10" s="488">
        <f>F10/B10</f>
        <v>0.11599992666097268</v>
      </c>
      <c r="E10" s="27"/>
      <c r="F10" s="494">
        <f>SUM(F5:F9)</f>
        <v>2698.6646590979171</v>
      </c>
      <c r="H10" s="142"/>
      <c r="J10" s="22">
        <f>SUM(J5:J9)</f>
        <v>2.1457948774935794E-3</v>
      </c>
      <c r="L10" s="6"/>
    </row>
    <row r="11" spans="1:12" ht="5.15" customHeight="1" x14ac:dyDescent="0.6">
      <c r="A11" s="82"/>
      <c r="B11" s="32"/>
      <c r="C11" s="27"/>
      <c r="D11" s="27"/>
      <c r="E11" s="27"/>
      <c r="F11" s="494"/>
      <c r="H11" s="142"/>
      <c r="L11" s="6"/>
    </row>
    <row r="12" spans="1:12" x14ac:dyDescent="0.6">
      <c r="A12" s="333" t="s">
        <v>605</v>
      </c>
      <c r="B12" s="32"/>
      <c r="C12" s="27"/>
      <c r="D12" s="27"/>
      <c r="E12" s="27"/>
      <c r="F12" s="494"/>
      <c r="H12" s="142"/>
      <c r="K12" s="165"/>
      <c r="L12" s="6"/>
    </row>
    <row r="13" spans="1:12" x14ac:dyDescent="0.6">
      <c r="A13" s="353" t="s">
        <v>481</v>
      </c>
      <c r="B13" s="32">
        <f>SUM('Table 3.24-CIOSS Detail'!E5,'Table 3.24-CIOSS Detail'!E9)</f>
        <v>222948.953071058</v>
      </c>
      <c r="C13" s="241" t="s">
        <v>244</v>
      </c>
      <c r="D13" s="488">
        <f>F13/B13</f>
        <v>6.1901874930672229E-2</v>
      </c>
      <c r="E13" s="27"/>
      <c r="F13" s="489">
        <f>SUM('Table 3.24-CIOSS Detail'!K5,'Table 3.24-CIOSS Detail'!K9)</f>
        <v>13800.958208928945</v>
      </c>
      <c r="G13" s="241" t="s">
        <v>244</v>
      </c>
      <c r="H13" s="358">
        <f>B13/$B$68</f>
        <v>0.17727386758840513</v>
      </c>
      <c r="J13" s="551">
        <f>D13*H13</f>
        <v>1.0973584779934004E-2</v>
      </c>
      <c r="K13" s="165"/>
      <c r="L13" s="6"/>
    </row>
    <row r="14" spans="1:12" x14ac:dyDescent="0.6">
      <c r="A14" s="353" t="s">
        <v>95</v>
      </c>
      <c r="B14" s="32">
        <f>SUM('Table 3.28-REC Volume'!G5,'Table 3.28-REC Volume'!G9)</f>
        <v>84782.101616691943</v>
      </c>
      <c r="C14" s="241" t="s">
        <v>582</v>
      </c>
      <c r="D14" s="488">
        <f>F14/B14</f>
        <v>0</v>
      </c>
      <c r="E14" s="27"/>
      <c r="F14" s="489">
        <v>0</v>
      </c>
      <c r="H14" s="358">
        <f>B14/$B$68</f>
        <v>6.7412969869716871E-2</v>
      </c>
      <c r="J14" s="551">
        <f>D14*H14</f>
        <v>0</v>
      </c>
      <c r="K14" s="165"/>
      <c r="L14" s="6"/>
    </row>
    <row r="15" spans="1:12" x14ac:dyDescent="0.6">
      <c r="A15" s="239" t="s">
        <v>499</v>
      </c>
      <c r="B15" s="32">
        <f>SUM('Table 3.28-REC Volume'!H5)</f>
        <v>124576.99708455709</v>
      </c>
      <c r="C15" s="241" t="s">
        <v>582</v>
      </c>
      <c r="D15" s="488">
        <f>F15/B15</f>
        <v>8.3489938589580232E-2</v>
      </c>
      <c r="E15" s="27"/>
      <c r="F15" s="494">
        <f>SUM('Table 3.26-REC Detail NonACS'!K5)</f>
        <v>10400.925836263987</v>
      </c>
      <c r="G15" s="12" t="s">
        <v>590</v>
      </c>
      <c r="H15" s="358">
        <f>B15/$B$68</f>
        <v>9.9055168376100164E-2</v>
      </c>
      <c r="J15" s="551">
        <f>D15*H15</f>
        <v>8.2701099247011328E-3</v>
      </c>
      <c r="K15" s="165"/>
      <c r="L15" s="6"/>
    </row>
    <row r="16" spans="1:12" x14ac:dyDescent="0.6">
      <c r="A16" s="239" t="s">
        <v>677</v>
      </c>
      <c r="B16" s="32">
        <f>SUM('Table 3.28-REC Volume'!H9)</f>
        <v>2596.1553404808133</v>
      </c>
      <c r="C16" s="241" t="s">
        <v>582</v>
      </c>
      <c r="D16" s="488">
        <f>F16/B16</f>
        <v>4.174496929479013E-2</v>
      </c>
      <c r="E16" s="27"/>
      <c r="F16" s="494">
        <f>SUM('Table 3.26-REC Detail NonACS'!K9)</f>
        <v>108.37642497287696</v>
      </c>
      <c r="G16" s="12" t="s">
        <v>590</v>
      </c>
      <c r="H16" s="358">
        <f>B16/$B$68</f>
        <v>2.0642864284751428E-3</v>
      </c>
      <c r="J16" s="551">
        <f>D16*H16</f>
        <v>8.6173573572346821E-5</v>
      </c>
      <c r="L16" s="6"/>
    </row>
    <row r="17" spans="1:12" x14ac:dyDescent="0.6">
      <c r="A17" s="239" t="s">
        <v>489</v>
      </c>
      <c r="B17" s="32">
        <v>10993.699029328149</v>
      </c>
      <c r="C17" s="241" t="s">
        <v>591</v>
      </c>
      <c r="D17" s="488">
        <f>'Table 3.21-CFS CIOSS Rejs'!I13</f>
        <v>0.28335656489661398</v>
      </c>
      <c r="E17" s="241" t="s">
        <v>592</v>
      </c>
      <c r="F17" s="494">
        <f>B17*D17</f>
        <v>3115.1367924576639</v>
      </c>
      <c r="H17" s="358">
        <f>B17/$B$68</f>
        <v>8.7414429141129298E-3</v>
      </c>
      <c r="J17" s="551">
        <f>D17*H17</f>
        <v>2.4769452363828867E-3</v>
      </c>
      <c r="L17" s="6"/>
    </row>
    <row r="18" spans="1:12" x14ac:dyDescent="0.6">
      <c r="A18" s="82" t="s">
        <v>102</v>
      </c>
      <c r="B18" s="32">
        <f>B13</f>
        <v>222948.953071058</v>
      </c>
      <c r="C18" s="27"/>
      <c r="D18" s="488">
        <f>F18/B18</f>
        <v>0.12301200290401222</v>
      </c>
      <c r="E18" s="27"/>
      <c r="F18" s="494">
        <f>SUM(F13:F17)</f>
        <v>27425.397262623472</v>
      </c>
      <c r="H18" s="142"/>
      <c r="J18" s="22">
        <f>SUM(J13:J17)</f>
        <v>2.1806813514590372E-2</v>
      </c>
      <c r="L18" s="6"/>
    </row>
    <row r="19" spans="1:12" ht="5.15" customHeight="1" x14ac:dyDescent="0.6">
      <c r="B19" s="27"/>
      <c r="C19" s="27"/>
      <c r="D19" s="27"/>
      <c r="E19" s="27"/>
      <c r="F19" s="27"/>
      <c r="L19" s="6"/>
    </row>
    <row r="20" spans="1:12" x14ac:dyDescent="0.6">
      <c r="A20" s="15" t="s">
        <v>606</v>
      </c>
      <c r="B20" s="27"/>
      <c r="C20" s="27"/>
      <c r="D20" s="27"/>
      <c r="E20" s="27"/>
      <c r="F20" s="27"/>
      <c r="L20" s="6"/>
    </row>
    <row r="21" spans="1:12" x14ac:dyDescent="0.6">
      <c r="A21" s="353" t="s">
        <v>307</v>
      </c>
      <c r="B21" s="32">
        <f>'Table 3.16-Route UAA PARS'!D107</f>
        <v>11734.155424792536</v>
      </c>
      <c r="C21" s="490" t="s">
        <v>593</v>
      </c>
      <c r="D21" s="488">
        <f t="shared" ref="D21:D26" si="0">F21/B21</f>
        <v>7.3088651399704399E-2</v>
      </c>
      <c r="E21" s="490"/>
      <c r="F21" s="489">
        <f>'Table 3.16-Route UAA PARS'!J107</f>
        <v>857.63359531261199</v>
      </c>
      <c r="G21" s="490" t="s">
        <v>593</v>
      </c>
      <c r="H21" s="358">
        <f t="shared" ref="H21:H27" si="1">B21/$B$68</f>
        <v>9.3302035572844881E-3</v>
      </c>
      <c r="J21" s="551">
        <f t="shared" ref="J21:J27" si="2">D21*H21</f>
        <v>6.819319952866479E-4</v>
      </c>
      <c r="L21" s="6"/>
    </row>
    <row r="22" spans="1:12" x14ac:dyDescent="0.6">
      <c r="A22" s="353" t="s">
        <v>495</v>
      </c>
      <c r="B22" s="32">
        <f>'Table 3.18-Nixie UAA'!D7</f>
        <v>11734.155424792536</v>
      </c>
      <c r="C22" s="12" t="s">
        <v>587</v>
      </c>
      <c r="D22" s="488">
        <f t="shared" si="0"/>
        <v>6.6276317482136717E-3</v>
      </c>
      <c r="E22" s="490"/>
      <c r="F22" s="489">
        <f>'Table 3.18-Nixie UAA'!I7</f>
        <v>77.76966103182869</v>
      </c>
      <c r="G22" s="12" t="s">
        <v>587</v>
      </c>
      <c r="H22" s="358">
        <f t="shared" si="1"/>
        <v>9.3302035572844881E-3</v>
      </c>
      <c r="J22" s="551">
        <f t="shared" si="2"/>
        <v>6.1837153313554815E-5</v>
      </c>
      <c r="L22" s="6"/>
    </row>
    <row r="23" spans="1:12" x14ac:dyDescent="0.6">
      <c r="A23" s="353" t="s">
        <v>481</v>
      </c>
      <c r="B23" s="32">
        <f>SUM('Table 3.24-CIOSS Detail'!E20,'Table 3.24-CIOSS Detail'!E24)</f>
        <v>11734.155424792538</v>
      </c>
      <c r="C23" s="241" t="s">
        <v>244</v>
      </c>
      <c r="D23" s="488">
        <f t="shared" si="0"/>
        <v>4.6609454799070561E-2</v>
      </c>
      <c r="E23" s="490"/>
      <c r="F23" s="489">
        <f>SUM('Table 3.24-CIOSS Detail'!K20,'Table 3.24-CIOSS Detail'!K24)</f>
        <v>546.92258687713638</v>
      </c>
      <c r="G23" s="241" t="s">
        <v>244</v>
      </c>
      <c r="H23" s="358">
        <f t="shared" si="1"/>
        <v>9.3302035572844898E-3</v>
      </c>
      <c r="J23" s="551">
        <f t="shared" si="2"/>
        <v>4.3487570096937877E-4</v>
      </c>
      <c r="L23" s="6"/>
    </row>
    <row r="24" spans="1:12" x14ac:dyDescent="0.6">
      <c r="A24" s="353" t="s">
        <v>95</v>
      </c>
      <c r="B24" s="32">
        <f>SUM('Table 3.28-REC Volume'!G20,'Table 3.28-REC Volume'!G24)</f>
        <v>2565.7741278735748</v>
      </c>
      <c r="C24" s="241" t="s">
        <v>582</v>
      </c>
      <c r="D24" s="488">
        <f t="shared" si="0"/>
        <v>0</v>
      </c>
      <c r="E24" s="27"/>
      <c r="F24" s="489">
        <v>0</v>
      </c>
      <c r="H24" s="358">
        <f t="shared" si="1"/>
        <v>2.0401293513203815E-3</v>
      </c>
      <c r="J24" s="551">
        <f t="shared" si="2"/>
        <v>0</v>
      </c>
      <c r="L24" s="6"/>
    </row>
    <row r="25" spans="1:12" x14ac:dyDescent="0.6">
      <c r="A25" s="239" t="s">
        <v>499</v>
      </c>
      <c r="B25" s="32">
        <f>SUM('Table 3.28-REC Volume'!H20)</f>
        <v>8414.4112065885147</v>
      </c>
      <c r="C25" s="241" t="s">
        <v>582</v>
      </c>
      <c r="D25" s="488">
        <f t="shared" si="0"/>
        <v>8.3489938589580232E-2</v>
      </c>
      <c r="E25" s="490"/>
      <c r="F25" s="489">
        <f>SUM('Table 3.26-REC Detail NonACS'!K20)</f>
        <v>702.51867490555082</v>
      </c>
      <c r="G25" s="12" t="s">
        <v>590</v>
      </c>
      <c r="H25" s="358">
        <f t="shared" si="1"/>
        <v>6.6905683903155447E-3</v>
      </c>
      <c r="J25" s="551">
        <f t="shared" si="2"/>
        <v>5.5859514403683145E-4</v>
      </c>
      <c r="L25" s="6"/>
    </row>
    <row r="26" spans="1:12" ht="12.75" customHeight="1" x14ac:dyDescent="0.6">
      <c r="A26" s="239" t="s">
        <v>677</v>
      </c>
      <c r="B26" s="32">
        <f>SUM('Table 3.28-REC Volume'!H24)</f>
        <v>175.3543519447569</v>
      </c>
      <c r="C26" s="241" t="s">
        <v>582</v>
      </c>
      <c r="D26" s="488">
        <f t="shared" si="0"/>
        <v>4.1744969294790109E-2</v>
      </c>
      <c r="E26" s="490"/>
      <c r="F26" s="489">
        <f>SUM('Table 3.26-REC Detail NonACS'!K24)</f>
        <v>7.3201620376416949</v>
      </c>
      <c r="G26" s="12" t="s">
        <v>590</v>
      </c>
      <c r="H26" s="358">
        <f t="shared" si="1"/>
        <v>1.3942987280051418E-4</v>
      </c>
      <c r="J26" s="551">
        <f t="shared" si="2"/>
        <v>5.8204957588339553E-6</v>
      </c>
      <c r="L26" s="6"/>
    </row>
    <row r="27" spans="1:12" x14ac:dyDescent="0.6">
      <c r="A27" s="239" t="s">
        <v>489</v>
      </c>
      <c r="B27" s="32">
        <f>'Table 3.21-CFS CIOSS Rejs'!B14-B17</f>
        <v>578.61573838569166</v>
      </c>
      <c r="C27" s="490" t="s">
        <v>594</v>
      </c>
      <c r="D27" s="488">
        <f>'Table 3.21-CFS CIOSS Rejs'!I13</f>
        <v>0.28335656489661398</v>
      </c>
      <c r="E27" s="241" t="s">
        <v>592</v>
      </c>
      <c r="F27" s="494">
        <f>B27*D27</f>
        <v>163.95456802408745</v>
      </c>
      <c r="H27" s="358">
        <f t="shared" si="1"/>
        <v>4.6007594284804866E-4</v>
      </c>
      <c r="J27" s="551">
        <f t="shared" si="2"/>
        <v>1.3036553875699398E-4</v>
      </c>
      <c r="L27" s="6"/>
    </row>
    <row r="28" spans="1:12" ht="12.75" customHeight="1" x14ac:dyDescent="0.6">
      <c r="A28" s="100" t="s">
        <v>102</v>
      </c>
      <c r="B28" s="492">
        <f>B21</f>
        <v>11734.155424792536</v>
      </c>
      <c r="C28" s="151"/>
      <c r="D28" s="488">
        <f>F28/B28</f>
        <v>0.20079154936116883</v>
      </c>
      <c r="E28" s="151"/>
      <c r="F28" s="485">
        <f>SUM(F21:F27)</f>
        <v>2356.1192481888575</v>
      </c>
      <c r="G28" s="18"/>
      <c r="H28" s="142"/>
      <c r="I28" s="18"/>
      <c r="J28" s="552">
        <f>SUM(J21:J27)</f>
        <v>1.8734260281222409E-3</v>
      </c>
      <c r="L28" s="6"/>
    </row>
    <row r="29" spans="1:12" ht="5.15" customHeight="1" x14ac:dyDescent="0.6">
      <c r="A29" s="100"/>
      <c r="B29" s="492"/>
      <c r="C29" s="151"/>
      <c r="D29" s="151"/>
      <c r="E29" s="151"/>
      <c r="F29" s="485"/>
      <c r="G29" s="18"/>
      <c r="H29" s="142"/>
      <c r="I29" s="18"/>
      <c r="J29" s="18"/>
      <c r="L29" s="6"/>
    </row>
    <row r="30" spans="1:12" ht="12.75" customHeight="1" x14ac:dyDescent="0.6">
      <c r="A30" s="15" t="s">
        <v>607</v>
      </c>
      <c r="B30" s="492"/>
      <c r="C30" s="151"/>
      <c r="D30" s="151"/>
      <c r="E30" s="151"/>
      <c r="F30" s="485"/>
      <c r="G30" s="18"/>
      <c r="H30" s="142"/>
      <c r="I30" s="18"/>
      <c r="J30" s="18"/>
      <c r="L30" s="6"/>
    </row>
    <row r="31" spans="1:12" ht="12.75" customHeight="1" x14ac:dyDescent="0.6">
      <c r="A31" s="353" t="s">
        <v>307</v>
      </c>
      <c r="B31" s="492">
        <f>'Table 3.16-Route UAA PARS'!D99</f>
        <v>909019.77936737833</v>
      </c>
      <c r="C31" s="490" t="s">
        <v>593</v>
      </c>
      <c r="D31" s="488">
        <f>F31/B31</f>
        <v>7.2938161351260453E-2</v>
      </c>
      <c r="E31" s="151"/>
      <c r="F31" s="489">
        <f>'Table 3.16-Route UAA PARS'!J99</f>
        <v>66302.231338985017</v>
      </c>
      <c r="G31" s="490" t="s">
        <v>593</v>
      </c>
      <c r="H31" s="358">
        <f t="shared" ref="H31:H37" si="3">B31/$B$68</f>
        <v>0.72279079934254631</v>
      </c>
      <c r="J31" s="551">
        <f t="shared" ref="J31:J37" si="4">D31*H31</f>
        <v>5.2719031945653159E-2</v>
      </c>
      <c r="L31" s="6"/>
    </row>
    <row r="32" spans="1:12" ht="12.75" customHeight="1" x14ac:dyDescent="0.6">
      <c r="A32" s="353" t="s">
        <v>495</v>
      </c>
      <c r="B32" s="492">
        <f>'Table 3.18-Nixie UAA'!D9</f>
        <v>909019.77936737798</v>
      </c>
      <c r="C32" s="12" t="s">
        <v>587</v>
      </c>
      <c r="D32" s="488">
        <f>F32/B32</f>
        <v>7.9232039048672803E-3</v>
      </c>
      <c r="E32" s="151"/>
      <c r="F32" s="489">
        <f>'Table 3.18-Nixie UAA'!I9</f>
        <v>7202.3490654852021</v>
      </c>
      <c r="G32" s="12" t="s">
        <v>587</v>
      </c>
      <c r="H32" s="358">
        <f t="shared" si="3"/>
        <v>0.72279079934254609</v>
      </c>
      <c r="J32" s="551">
        <f t="shared" si="4"/>
        <v>5.7268188837530038E-3</v>
      </c>
      <c r="L32" s="6"/>
    </row>
    <row r="33" spans="1:12" ht="12.75" customHeight="1" x14ac:dyDescent="0.6">
      <c r="A33" s="353" t="s">
        <v>481</v>
      </c>
      <c r="B33" s="492">
        <f>SUM('Table 3.24-CIOSS Detail'!E27,'Table 3.24-CIOSS Detail'!E34)</f>
        <v>909019.77936737845</v>
      </c>
      <c r="C33" s="241" t="s">
        <v>244</v>
      </c>
      <c r="D33" s="488">
        <f>F33/B33</f>
        <v>-2.9291633503518745E-2</v>
      </c>
      <c r="E33" s="151"/>
      <c r="F33" s="489">
        <f>SUM('Table 3.24-CIOSS Detail'!K27,'Table 3.24-CIOSS Detail'!K34)</f>
        <v>-26626.674224678722</v>
      </c>
      <c r="G33" s="241" t="s">
        <v>244</v>
      </c>
      <c r="H33" s="358">
        <f t="shared" si="3"/>
        <v>0.72279079934254642</v>
      </c>
      <c r="J33" s="551">
        <f t="shared" si="4"/>
        <v>-2.1171723194057229E-2</v>
      </c>
      <c r="L33" s="6"/>
    </row>
    <row r="34" spans="1:12" ht="12.75" customHeight="1" x14ac:dyDescent="0.6">
      <c r="A34" s="353" t="s">
        <v>95</v>
      </c>
      <c r="B34" s="492">
        <f>SUM('Table 3.28-REC Volume'!G27,'Table 3.28-REC Volume'!G34)</f>
        <v>345229.76905525115</v>
      </c>
      <c r="C34" s="241" t="s">
        <v>582</v>
      </c>
      <c r="D34" s="488">
        <f>F34/B34</f>
        <v>0</v>
      </c>
      <c r="E34" s="151"/>
      <c r="F34" s="489">
        <v>0</v>
      </c>
      <c r="G34" s="18"/>
      <c r="H34" s="358">
        <f t="shared" si="3"/>
        <v>0.27450326868128694</v>
      </c>
      <c r="J34" s="551">
        <f t="shared" si="4"/>
        <v>0</v>
      </c>
      <c r="L34" s="6"/>
    </row>
    <row r="35" spans="1:12" ht="12.75" customHeight="1" x14ac:dyDescent="0.6">
      <c r="A35" s="239" t="s">
        <v>499</v>
      </c>
      <c r="B35" s="492">
        <f>SUM('Table 3.28-REC Volume'!H27,'Table 3.28-REC Volume'!H34)</f>
        <v>518339.02134375839</v>
      </c>
      <c r="C35" s="241" t="s">
        <v>582</v>
      </c>
      <c r="D35" s="488">
        <f>F35/B35</f>
        <v>-2.0464781935063132E-2</v>
      </c>
      <c r="E35" s="151"/>
      <c r="F35" s="489">
        <f>SUM('Table 3.26-REC Detail NonACS'!K27,'Table 3.26-REC Detail NonACS'!K34)</f>
        <v>-10607.69504023405</v>
      </c>
      <c r="G35" s="12" t="s">
        <v>590</v>
      </c>
      <c r="H35" s="358">
        <f t="shared" si="3"/>
        <v>0.41214799069413216</v>
      </c>
      <c r="J35" s="551">
        <f t="shared" si="4"/>
        <v>-8.4345187545298433E-3</v>
      </c>
      <c r="L35" s="6"/>
    </row>
    <row r="36" spans="1:12" ht="12.75" customHeight="1" x14ac:dyDescent="0.6">
      <c r="A36" s="239" t="s">
        <v>677</v>
      </c>
      <c r="B36" s="492">
        <v>0</v>
      </c>
      <c r="C36" s="241"/>
      <c r="D36" s="488">
        <v>0</v>
      </c>
      <c r="E36" s="151"/>
      <c r="F36" s="494">
        <v>0</v>
      </c>
      <c r="G36" s="18"/>
      <c r="H36" s="358">
        <f t="shared" si="3"/>
        <v>0</v>
      </c>
      <c r="J36" s="551">
        <f t="shared" si="4"/>
        <v>0</v>
      </c>
      <c r="L36" s="6"/>
    </row>
    <row r="37" spans="1:12" ht="12.75" customHeight="1" x14ac:dyDescent="0.6">
      <c r="A37" s="239" t="s">
        <v>488</v>
      </c>
      <c r="B37" s="492">
        <f>'Table 3.18-Nixie UAA'!D33-B9</f>
        <v>45450.988968368925</v>
      </c>
      <c r="C37" s="481" t="s">
        <v>622</v>
      </c>
      <c r="D37" s="488">
        <f>'Table 3.18-Nixie UAA'!J33</f>
        <v>0.13017573468479454</v>
      </c>
      <c r="E37" s="12" t="s">
        <v>587</v>
      </c>
      <c r="F37" s="485">
        <f>B37*D37</f>
        <v>5916.6158811079167</v>
      </c>
      <c r="G37" s="18"/>
      <c r="H37" s="358">
        <f t="shared" si="3"/>
        <v>3.6139539967127321E-2</v>
      </c>
      <c r="J37" s="551">
        <f t="shared" si="4"/>
        <v>4.7044911663912947E-3</v>
      </c>
      <c r="L37" s="6"/>
    </row>
    <row r="38" spans="1:12" ht="12.75" customHeight="1" x14ac:dyDescent="0.6">
      <c r="A38" s="100" t="s">
        <v>102</v>
      </c>
      <c r="B38" s="492">
        <f>B31</f>
        <v>909019.77936737833</v>
      </c>
      <c r="C38" s="151"/>
      <c r="D38" s="151"/>
      <c r="E38" s="151"/>
      <c r="F38" s="485">
        <f>SUM(F31:F37)</f>
        <v>42186.827020665369</v>
      </c>
      <c r="G38" s="18"/>
      <c r="H38" s="142"/>
      <c r="I38" s="18"/>
      <c r="J38" s="552">
        <f>SUM(J31:J37)</f>
        <v>3.3544100047210382E-2</v>
      </c>
      <c r="L38" s="6"/>
    </row>
    <row r="39" spans="1:12" ht="5.15" customHeight="1" x14ac:dyDescent="0.6">
      <c r="A39" s="100"/>
      <c r="B39" s="492"/>
      <c r="C39" s="151"/>
      <c r="D39" s="151"/>
      <c r="E39" s="151"/>
      <c r="F39" s="485"/>
      <c r="G39" s="18"/>
      <c r="H39" s="142"/>
      <c r="I39" s="18"/>
      <c r="J39" s="18"/>
      <c r="L39" s="6"/>
    </row>
    <row r="40" spans="1:12" ht="15.75" customHeight="1" x14ac:dyDescent="0.7">
      <c r="A40" s="157" t="s">
        <v>19</v>
      </c>
      <c r="B40" s="19"/>
      <c r="C40" s="19"/>
      <c r="D40" s="19"/>
      <c r="E40" s="19"/>
      <c r="F40" s="19"/>
      <c r="G40" s="19"/>
      <c r="H40" s="19"/>
      <c r="I40" s="19"/>
      <c r="J40" s="19"/>
      <c r="L40" s="6"/>
    </row>
    <row r="41" spans="1:12" ht="15.75" customHeight="1" x14ac:dyDescent="0.7">
      <c r="A41" s="158" t="s">
        <v>787</v>
      </c>
      <c r="B41" s="19"/>
      <c r="C41" s="19"/>
      <c r="D41" s="19"/>
      <c r="E41" s="19"/>
      <c r="F41" s="19"/>
      <c r="G41" s="19"/>
      <c r="H41" s="19"/>
      <c r="I41" s="19"/>
      <c r="J41" s="19"/>
      <c r="L41" s="6"/>
    </row>
    <row r="42" spans="1:12" ht="25.5" customHeight="1" x14ac:dyDescent="0.6">
      <c r="B42" s="168" t="s">
        <v>109</v>
      </c>
      <c r="C42" s="168"/>
      <c r="D42" s="169" t="s">
        <v>104</v>
      </c>
      <c r="E42" s="169"/>
      <c r="F42" s="168" t="s">
        <v>110</v>
      </c>
      <c r="G42" s="168"/>
      <c r="H42" s="170" t="s">
        <v>97</v>
      </c>
      <c r="I42" s="170"/>
      <c r="J42" s="171" t="s">
        <v>105</v>
      </c>
      <c r="L42" s="6"/>
    </row>
    <row r="43" spans="1:12" ht="12.75" customHeight="1" x14ac:dyDescent="0.6">
      <c r="A43" s="15" t="s">
        <v>608</v>
      </c>
      <c r="B43" s="492"/>
      <c r="C43" s="151"/>
      <c r="D43" s="151"/>
      <c r="E43" s="151"/>
      <c r="F43" s="485"/>
      <c r="G43" s="18"/>
      <c r="H43" s="142"/>
      <c r="I43" s="18"/>
      <c r="J43" s="18"/>
      <c r="L43" s="6"/>
    </row>
    <row r="44" spans="1:12" ht="12.75" customHeight="1" x14ac:dyDescent="0.6">
      <c r="A44" s="353" t="s">
        <v>481</v>
      </c>
      <c r="B44" s="492">
        <f>'Table 3.24-CIOSS Detail'!E15</f>
        <v>3891.5165227089001</v>
      </c>
      <c r="C44" s="241" t="s">
        <v>244</v>
      </c>
      <c r="D44" s="488">
        <f>F44/B44</f>
        <v>6.1901874930672243E-2</v>
      </c>
      <c r="E44" s="151"/>
      <c r="F44" s="485">
        <f>'Table 3.24-CIOSS Detail'!K15</f>
        <v>240.89216907937089</v>
      </c>
      <c r="G44" s="241" t="s">
        <v>244</v>
      </c>
      <c r="H44" s="358">
        <f>B44/$B$68</f>
        <v>3.0942696759150767E-3</v>
      </c>
      <c r="J44" s="551">
        <f>D44*H44</f>
        <v>1.9154109448026681E-4</v>
      </c>
      <c r="L44" s="6"/>
    </row>
    <row r="45" spans="1:12" ht="12.75" customHeight="1" x14ac:dyDescent="0.6">
      <c r="A45" s="353" t="s">
        <v>95</v>
      </c>
      <c r="B45" s="492">
        <f>'Table 3.28-REC Volume'!G15</f>
        <v>1533.2575099473067</v>
      </c>
      <c r="C45" s="241" t="s">
        <v>582</v>
      </c>
      <c r="D45" s="488">
        <f>F45/B45</f>
        <v>0</v>
      </c>
      <c r="E45" s="151"/>
      <c r="F45" s="485">
        <v>0</v>
      </c>
      <c r="G45" s="18"/>
      <c r="H45" s="358">
        <f>B45/$B$68</f>
        <v>1.2191422523105404E-3</v>
      </c>
      <c r="J45" s="551">
        <f>D45*H45</f>
        <v>0</v>
      </c>
      <c r="L45" s="6"/>
    </row>
    <row r="46" spans="1:12" ht="12.75" customHeight="1" x14ac:dyDescent="0.6">
      <c r="A46" s="239" t="s">
        <v>499</v>
      </c>
      <c r="B46" s="32">
        <v>0</v>
      </c>
      <c r="C46" s="241"/>
      <c r="D46" s="488">
        <v>0</v>
      </c>
      <c r="E46" s="27"/>
      <c r="F46" s="489">
        <v>0</v>
      </c>
      <c r="H46" s="358">
        <f>B46/$B$68</f>
        <v>0</v>
      </c>
      <c r="J46" s="551">
        <f>D46*H46</f>
        <v>0</v>
      </c>
      <c r="L46" s="6"/>
    </row>
    <row r="47" spans="1:12" ht="12.75" customHeight="1" x14ac:dyDescent="0.6">
      <c r="A47" s="239" t="s">
        <v>677</v>
      </c>
      <c r="B47" s="492">
        <f>'Table 3.28-REC Volume'!H15</f>
        <v>2299.88626492096</v>
      </c>
      <c r="C47" s="241" t="s">
        <v>582</v>
      </c>
      <c r="D47" s="488">
        <f>F47/B47</f>
        <v>4.1744969294790116E-2</v>
      </c>
      <c r="E47" s="490"/>
      <c r="F47" s="494">
        <f>SUM('Table 3.26-REC Detail NonACS'!K15)</f>
        <v>96.008681510635</v>
      </c>
      <c r="G47" s="12" t="s">
        <v>590</v>
      </c>
      <c r="H47" s="358">
        <f>B47/$B$68</f>
        <v>1.8287133784658104E-3</v>
      </c>
      <c r="J47" s="551">
        <f>D47*H47</f>
        <v>7.6339583833027146E-5</v>
      </c>
      <c r="L47" s="6"/>
    </row>
    <row r="48" spans="1:12" ht="12.75" customHeight="1" x14ac:dyDescent="0.6">
      <c r="A48" s="239" t="s">
        <v>489</v>
      </c>
      <c r="B48" s="492">
        <v>58.372747840633565</v>
      </c>
      <c r="C48" s="481" t="s">
        <v>623</v>
      </c>
      <c r="D48" s="488">
        <f>'Table 3.21-CFS CIOSS Rejs'!I71</f>
        <v>2.2822545604229152E-2</v>
      </c>
      <c r="E48" s="241" t="s">
        <v>592</v>
      </c>
      <c r="F48" s="494">
        <f>B48*D48</f>
        <v>1.3322146996370283</v>
      </c>
      <c r="G48" s="18"/>
      <c r="H48" s="358">
        <f>B48/$B$68</f>
        <v>4.6414045138726198E-5</v>
      </c>
      <c r="J48" s="551">
        <f>D48*H48</f>
        <v>1.059286661855329E-6</v>
      </c>
      <c r="L48" s="6"/>
    </row>
    <row r="49" spans="1:12" ht="12.75" customHeight="1" x14ac:dyDescent="0.6">
      <c r="A49" s="100" t="s">
        <v>102</v>
      </c>
      <c r="B49" s="492">
        <f>B44</f>
        <v>3891.5165227089001</v>
      </c>
      <c r="C49" s="151"/>
      <c r="D49" s="488">
        <f>F49/B49</f>
        <v>8.6915489967956644E-2</v>
      </c>
      <c r="E49" s="151"/>
      <c r="F49" s="485">
        <f>SUM(F44:F48)</f>
        <v>338.23306528964292</v>
      </c>
      <c r="G49" s="18"/>
      <c r="H49" s="142"/>
      <c r="I49" s="18"/>
      <c r="J49" s="552">
        <f>SUM(J44:J48)</f>
        <v>2.6893996497514926E-4</v>
      </c>
      <c r="L49" s="6"/>
    </row>
    <row r="50" spans="1:12" ht="5.15" customHeight="1" x14ac:dyDescent="0.6">
      <c r="A50" s="100"/>
      <c r="B50" s="492"/>
      <c r="C50" s="151"/>
      <c r="D50" s="151"/>
      <c r="E50" s="151"/>
      <c r="F50" s="485"/>
      <c r="G50" s="18"/>
      <c r="H50" s="142"/>
      <c r="I50" s="18"/>
      <c r="J50" s="18"/>
      <c r="L50" s="6"/>
    </row>
    <row r="51" spans="1:12" ht="12.75" customHeight="1" x14ac:dyDescent="0.6">
      <c r="A51" s="15" t="s">
        <v>609</v>
      </c>
      <c r="B51" s="492"/>
      <c r="C51" s="151"/>
      <c r="D51" s="151"/>
      <c r="E51" s="151"/>
      <c r="F51" s="485"/>
      <c r="G51" s="18"/>
      <c r="H51" s="142"/>
      <c r="I51" s="18"/>
      <c r="J51" s="18"/>
      <c r="L51" s="6"/>
    </row>
    <row r="52" spans="1:12" ht="12.75" customHeight="1" x14ac:dyDescent="0.6">
      <c r="A52" s="353" t="s">
        <v>307</v>
      </c>
      <c r="B52" s="492">
        <f>'Table 3.16-Route UAA PARS'!D100</f>
        <v>86793.901396098183</v>
      </c>
      <c r="C52" s="490" t="s">
        <v>593</v>
      </c>
      <c r="D52" s="488">
        <f>F52/B52</f>
        <v>7.1625249249211903E-2</v>
      </c>
      <c r="E52" s="151"/>
      <c r="F52" s="485">
        <f>'Table 3.16-Route UAA PARS'!J100</f>
        <v>6216.6348208070531</v>
      </c>
      <c r="G52" s="490" t="s">
        <v>593</v>
      </c>
      <c r="H52" s="358">
        <f t="shared" ref="H52:H58" si="5">B52/$B$68</f>
        <v>6.9012616438118471E-2</v>
      </c>
      <c r="J52" s="551">
        <f t="shared" ref="J52:J58" si="6">D52*H52</f>
        <v>4.9430458537204937E-3</v>
      </c>
      <c r="L52" s="6"/>
    </row>
    <row r="53" spans="1:12" ht="12.75" customHeight="1" x14ac:dyDescent="0.6">
      <c r="A53" s="353" t="s">
        <v>495</v>
      </c>
      <c r="B53" s="492">
        <f>'Table 3.18-Nixie UAA'!D10</f>
        <v>86793.901396098183</v>
      </c>
      <c r="C53" s="12" t="s">
        <v>587</v>
      </c>
      <c r="D53" s="488">
        <f>F53/B53</f>
        <v>6.6276317482136709E-3</v>
      </c>
      <c r="E53" s="151"/>
      <c r="F53" s="485">
        <f>'Table 3.18-Nixie UAA'!I10</f>
        <v>575.23801644410719</v>
      </c>
      <c r="G53" s="12" t="s">
        <v>587</v>
      </c>
      <c r="H53" s="358">
        <f t="shared" si="5"/>
        <v>6.9012616438118471E-2</v>
      </c>
      <c r="J53" s="551">
        <f t="shared" si="6"/>
        <v>4.5739020773256662E-4</v>
      </c>
      <c r="L53" s="6"/>
    </row>
    <row r="54" spans="1:12" ht="12.75" customHeight="1" x14ac:dyDescent="0.6">
      <c r="A54" s="353" t="s">
        <v>481</v>
      </c>
      <c r="B54" s="492">
        <f>SUM('Table 3.24-CIOSS Detail'!E30,'Table 3.24-CIOSS Detail'!E36)</f>
        <v>86793.901396098227</v>
      </c>
      <c r="C54" s="241" t="s">
        <v>244</v>
      </c>
      <c r="D54" s="488">
        <f>F54/B54</f>
        <v>3.1588782592585352E-2</v>
      </c>
      <c r="E54" s="151"/>
      <c r="F54" s="485">
        <f>SUM('Table 3.24-CIOSS Detail'!K30,'Table 3.24-CIOSS Detail'!K36)</f>
        <v>2741.7136815636372</v>
      </c>
      <c r="G54" s="241" t="s">
        <v>244</v>
      </c>
      <c r="H54" s="358">
        <f t="shared" si="5"/>
        <v>6.9012616438118499E-2</v>
      </c>
      <c r="J54" s="551">
        <f t="shared" si="6"/>
        <v>2.1800245368092074E-3</v>
      </c>
      <c r="L54" s="6"/>
    </row>
    <row r="55" spans="1:12" ht="12.75" customHeight="1" x14ac:dyDescent="0.6">
      <c r="A55" s="353" t="s">
        <v>95</v>
      </c>
      <c r="B55" s="492">
        <f>SUM('Table 3.28-REC Volume'!G30,'Table 3.28-REC Volume'!G36)</f>
        <v>34162.500600498097</v>
      </c>
      <c r="C55" s="241" t="s">
        <v>582</v>
      </c>
      <c r="D55" s="488">
        <f>F55/B55</f>
        <v>0</v>
      </c>
      <c r="E55" s="151"/>
      <c r="F55" s="485">
        <v>0</v>
      </c>
      <c r="G55" s="18"/>
      <c r="H55" s="358">
        <f t="shared" si="5"/>
        <v>2.7163700589395958E-2</v>
      </c>
      <c r="J55" s="551">
        <f t="shared" si="6"/>
        <v>0</v>
      </c>
      <c r="L55" s="6"/>
    </row>
    <row r="56" spans="1:12" ht="12.75" customHeight="1" x14ac:dyDescent="0.6">
      <c r="A56" s="239" t="s">
        <v>499</v>
      </c>
      <c r="B56" s="32">
        <v>0</v>
      </c>
      <c r="D56" s="488">
        <v>0</v>
      </c>
      <c r="E56" s="27"/>
      <c r="F56" s="489">
        <v>0</v>
      </c>
      <c r="G56" s="18"/>
      <c r="H56" s="358">
        <f t="shared" si="5"/>
        <v>0</v>
      </c>
      <c r="J56" s="551">
        <f t="shared" si="6"/>
        <v>0</v>
      </c>
      <c r="L56" s="6"/>
    </row>
    <row r="57" spans="1:12" ht="12.75" customHeight="1" x14ac:dyDescent="0.6">
      <c r="A57" s="239" t="s">
        <v>677</v>
      </c>
      <c r="B57" s="492">
        <f>SUM('Table 3.28-REC Volume'!H30,'Table 3.28-REC Volume'!H36)</f>
        <v>51329.49227465866</v>
      </c>
      <c r="C57" s="241" t="s">
        <v>582</v>
      </c>
      <c r="D57" s="488">
        <f>F57/B57</f>
        <v>4.1744969294790116E-2</v>
      </c>
      <c r="E57" s="490"/>
      <c r="F57" s="489">
        <f>SUM('Table 3.26-REC Detail NonACS'!K30,'Table 3.26-REC Detail NonACS'!K36)</f>
        <v>2142.748078922792</v>
      </c>
      <c r="G57" s="12" t="s">
        <v>590</v>
      </c>
      <c r="H57" s="358">
        <f t="shared" si="5"/>
        <v>4.0813726602150768E-2</v>
      </c>
      <c r="J57" s="551">
        <f t="shared" si="6"/>
        <v>1.7037677638127424E-3</v>
      </c>
      <c r="L57" s="6"/>
    </row>
    <row r="58" spans="1:12" ht="12.75" customHeight="1" x14ac:dyDescent="0.6">
      <c r="A58" s="239" t="s">
        <v>489</v>
      </c>
      <c r="B58" s="492">
        <f>'Table 3.21-CFS CIOSS Rejs'!B71-B48</f>
        <v>1301.9085209414729</v>
      </c>
      <c r="C58" s="481" t="s">
        <v>624</v>
      </c>
      <c r="D58" s="488">
        <f>'Table 3.21-CFS CIOSS Rejs'!I71</f>
        <v>2.2822545604229152E-2</v>
      </c>
      <c r="E58" s="241" t="s">
        <v>592</v>
      </c>
      <c r="F58" s="494">
        <f>B58*D58</f>
        <v>29.712866591721291</v>
      </c>
      <c r="G58" s="18"/>
      <c r="H58" s="358">
        <f t="shared" si="5"/>
        <v>1.035189246571777E-3</v>
      </c>
      <c r="J58" s="551">
        <f t="shared" si="6"/>
        <v>2.3625653788891997E-5</v>
      </c>
      <c r="L58" s="6"/>
    </row>
    <row r="59" spans="1:12" ht="12.75" customHeight="1" x14ac:dyDescent="0.6">
      <c r="A59" s="100" t="s">
        <v>102</v>
      </c>
      <c r="B59" s="324">
        <f>B52</f>
        <v>86793.901396098183</v>
      </c>
      <c r="C59" s="18"/>
      <c r="D59" s="83">
        <f>F59/B59</f>
        <v>0.13487177412277904</v>
      </c>
      <c r="E59" s="18"/>
      <c r="F59" s="113">
        <f>SUM(F52:F58)</f>
        <v>11706.047464329311</v>
      </c>
      <c r="G59" s="18"/>
      <c r="H59" s="142"/>
      <c r="I59" s="18"/>
      <c r="J59" s="552">
        <f>SUM(J52:J58)</f>
        <v>9.307854015863903E-3</v>
      </c>
    </row>
    <row r="60" spans="1:12" ht="5.15" customHeight="1" x14ac:dyDescent="0.6">
      <c r="A60" s="100"/>
      <c r="B60" s="324"/>
      <c r="C60" s="18"/>
      <c r="D60" s="18"/>
      <c r="E60" s="18"/>
      <c r="F60" s="113"/>
      <c r="G60" s="18"/>
      <c r="H60" s="142"/>
      <c r="I60" s="18"/>
      <c r="J60" s="18"/>
    </row>
    <row r="61" spans="1:12" ht="12.75" customHeight="1" x14ac:dyDescent="0.6">
      <c r="A61" s="15" t="s">
        <v>610</v>
      </c>
      <c r="B61" s="324"/>
      <c r="C61" s="18"/>
      <c r="D61" s="18"/>
      <c r="E61" s="18"/>
      <c r="F61" s="113"/>
      <c r="G61" s="18"/>
      <c r="H61" s="142"/>
      <c r="I61" s="18"/>
      <c r="J61" s="18"/>
    </row>
    <row r="62" spans="1:12" ht="12.75" customHeight="1" x14ac:dyDescent="0.6">
      <c r="A62" s="353" t="s">
        <v>320</v>
      </c>
      <c r="B62" s="6">
        <f>SUM(B10,B18,B28,B38,B49,B59)</f>
        <v>1257652.6709999999</v>
      </c>
      <c r="D62" s="83">
        <f>'Table 3.30-UAA MP Cost'!D24</f>
        <v>0.39611294705391425</v>
      </c>
      <c r="E62" s="12" t="s">
        <v>626</v>
      </c>
      <c r="F62" s="113">
        <f>B62*D62</f>
        <v>498172.5058800368</v>
      </c>
      <c r="G62" s="18"/>
      <c r="H62" s="358">
        <f>B62/$B$68</f>
        <v>1</v>
      </c>
      <c r="J62" s="551">
        <f>D62*H62</f>
        <v>0.39611294705391425</v>
      </c>
    </row>
    <row r="63" spans="1:12" x14ac:dyDescent="0.6">
      <c r="A63" s="353" t="s">
        <v>99</v>
      </c>
      <c r="B63" s="6">
        <f>'Table 3.35-PD Vols'!B14</f>
        <v>3901.9205049351399</v>
      </c>
      <c r="C63" s="12" t="s">
        <v>625</v>
      </c>
      <c r="D63" s="83">
        <f>'Table 3.32-Accounting Post Due'!I13</f>
        <v>2.8323086898457834</v>
      </c>
      <c r="E63" s="12" t="s">
        <v>627</v>
      </c>
      <c r="F63" s="113">
        <f>B63*D63</f>
        <v>11051.443353215243</v>
      </c>
      <c r="G63" s="18"/>
      <c r="H63" s="358">
        <f>B63/$B$68</f>
        <v>3.1025422160735347E-3</v>
      </c>
      <c r="J63" s="551">
        <f>D63*H63</f>
        <v>8.7873572791984673E-3</v>
      </c>
    </row>
    <row r="64" spans="1:12" x14ac:dyDescent="0.6">
      <c r="A64" s="353" t="s">
        <v>100</v>
      </c>
      <c r="B64" s="6">
        <f>'Table 3.35-PD Vols'!B15</f>
        <v>3229.61107492266</v>
      </c>
      <c r="C64" s="12" t="s">
        <v>625</v>
      </c>
      <c r="D64" s="83">
        <f>'Table 3.33-Delivery Post Due'!I20</f>
        <v>0.90047096221188039</v>
      </c>
      <c r="E64" s="12" t="s">
        <v>628</v>
      </c>
      <c r="F64" s="113">
        <f>B64*D64</f>
        <v>2908.170992205753</v>
      </c>
      <c r="G64" s="18"/>
      <c r="H64" s="358">
        <f>B64/$B$68</f>
        <v>2.5679674121430467E-3</v>
      </c>
      <c r="J64" s="551">
        <f>D64*H64</f>
        <v>2.3123800865412015E-3</v>
      </c>
    </row>
    <row r="65" spans="1:11" x14ac:dyDescent="0.6">
      <c r="A65" s="497" t="s">
        <v>210</v>
      </c>
      <c r="B65" s="6">
        <f>'Table 3.35-PD Vols'!B16</f>
        <v>370.87366251681919</v>
      </c>
      <c r="C65" s="12" t="s">
        <v>625</v>
      </c>
      <c r="D65" s="83">
        <f>'Table 3.34-Window Post Due'!I13</f>
        <v>0.47544155968083035</v>
      </c>
      <c r="E65" s="12" t="s">
        <v>629</v>
      </c>
      <c r="F65" s="113">
        <f>B65*D65</f>
        <v>176.32875255153843</v>
      </c>
      <c r="G65" s="18"/>
      <c r="H65" s="358">
        <f>B65/$B$68</f>
        <v>2.948935513506489E-4</v>
      </c>
      <c r="J65" s="551">
        <f>D65*H65</f>
        <v>1.4020464999397154E-4</v>
      </c>
    </row>
    <row r="66" spans="1:11" x14ac:dyDescent="0.6">
      <c r="A66" s="100" t="s">
        <v>102</v>
      </c>
      <c r="B66" s="324">
        <f>B62</f>
        <v>1257652.6709999999</v>
      </c>
      <c r="C66" s="18"/>
      <c r="D66" s="83">
        <f>F66/B66</f>
        <v>0.40735288906964784</v>
      </c>
      <c r="E66" s="18"/>
      <c r="F66" s="175">
        <f>SUM(F62:F65)</f>
        <v>512308.44897800928</v>
      </c>
      <c r="G66" s="18"/>
      <c r="H66" s="142"/>
      <c r="I66" s="18"/>
      <c r="J66" s="552">
        <f>SUM(J62:J65)</f>
        <v>0.40735288906964795</v>
      </c>
    </row>
    <row r="67" spans="1:11" ht="5.15" customHeight="1" x14ac:dyDescent="0.6">
      <c r="A67" s="91"/>
      <c r="B67" s="324"/>
      <c r="C67" s="18"/>
      <c r="D67" s="83"/>
      <c r="E67" s="18"/>
      <c r="F67" s="175"/>
      <c r="G67" s="18"/>
      <c r="H67" s="142"/>
      <c r="I67" s="18"/>
      <c r="J67" s="18"/>
    </row>
    <row r="68" spans="1:11" x14ac:dyDescent="0.6">
      <c r="A68" s="91" t="s">
        <v>504</v>
      </c>
      <c r="B68" s="393">
        <f>SUM(B10,B18,B28,B38,B49,B59)</f>
        <v>1257652.6709999999</v>
      </c>
      <c r="C68" s="18"/>
      <c r="D68" s="83"/>
      <c r="E68" s="18"/>
      <c r="F68" s="510">
        <f>SUM(F10,F18,F28,F38,F49,F59,F66)</f>
        <v>599019.73769820388</v>
      </c>
      <c r="G68" s="18"/>
      <c r="H68" s="142"/>
      <c r="I68" s="18"/>
      <c r="J68" s="413">
        <f>SUM(J10,J18,J28,J38,J49,J59,J66)</f>
        <v>0.47629981751790357</v>
      </c>
    </row>
    <row r="69" spans="1:11" hidden="1" x14ac:dyDescent="0.6">
      <c r="A69" s="91"/>
      <c r="B69" s="324"/>
      <c r="C69" s="18"/>
      <c r="D69" s="83"/>
      <c r="E69" s="18"/>
      <c r="F69" s="175"/>
      <c r="G69" s="18"/>
      <c r="H69" s="142"/>
      <c r="I69" s="18"/>
      <c r="J69" s="18"/>
    </row>
    <row r="70" spans="1:11" hidden="1" x14ac:dyDescent="0.6">
      <c r="A70" s="5"/>
      <c r="B70" s="240"/>
      <c r="F70" s="359"/>
      <c r="H70" s="6"/>
      <c r="J70" s="6"/>
    </row>
    <row r="71" spans="1:11" hidden="1" x14ac:dyDescent="0.6">
      <c r="A71" s="23" t="s">
        <v>191</v>
      </c>
      <c r="B71" s="143">
        <f>B5-SUM(B6:B9)</f>
        <v>0</v>
      </c>
      <c r="G71" s="482" t="s">
        <v>311</v>
      </c>
      <c r="H71" s="6">
        <f>SUM('Table 3.16-Route UAA PARS'!J99,'Table 3.16-Route UAA PARS'!J100,'Table 3.16-Route UAA PARS'!J107)</f>
        <v>73376.499755104684</v>
      </c>
      <c r="J71" s="6">
        <f>SUM(F21,F31,F52)</f>
        <v>73376.499755104684</v>
      </c>
      <c r="K71" s="143">
        <f t="shared" ref="K71:K78" si="7">H71-J71</f>
        <v>0</v>
      </c>
    </row>
    <row r="72" spans="1:11" hidden="1" x14ac:dyDescent="0.6">
      <c r="A72" s="5"/>
      <c r="B72" s="143">
        <f>B13-SUM(B14:B17)</f>
        <v>0</v>
      </c>
      <c r="G72" s="46" t="s">
        <v>312</v>
      </c>
      <c r="H72" s="6">
        <f>SUM('Table 3.18-Nixie UAA'!I7,'Table 3.18-Nixie UAA'!I9,'Table 3.18-Nixie UAA'!I10,'Table 3.18-Nixie UAA'!I33,'Table 3.18-Nixie UAA'!I34)</f>
        <v>13923.395415780247</v>
      </c>
      <c r="J72" s="6">
        <f>SUM(F9,F22,F32,F37,F53)</f>
        <v>13923.395415780247</v>
      </c>
      <c r="K72" s="143">
        <f t="shared" si="7"/>
        <v>0</v>
      </c>
    </row>
    <row r="73" spans="1:11" hidden="1" x14ac:dyDescent="0.6">
      <c r="A73" s="5"/>
      <c r="B73" s="143">
        <f>B28-SUM(B24:B27)</f>
        <v>0</v>
      </c>
      <c r="G73" s="46" t="s">
        <v>313</v>
      </c>
      <c r="H73" s="6">
        <f>SUM('Table 3.21-CFS CIOSS Rejs'!H14,'Table 3.21-CFS CIOSS Rejs'!H71)</f>
        <v>3310.1364417731093</v>
      </c>
      <c r="J73" s="6">
        <f>SUM(F17,F27,F48,F58)</f>
        <v>3310.1364417731097</v>
      </c>
      <c r="K73" s="143">
        <f t="shared" si="7"/>
        <v>0</v>
      </c>
    </row>
    <row r="74" spans="1:11" hidden="1" x14ac:dyDescent="0.6">
      <c r="A74" s="5"/>
      <c r="B74" s="143">
        <f>B33-SUM(B34:B37)</f>
        <v>0</v>
      </c>
      <c r="G74" s="483" t="s">
        <v>502</v>
      </c>
      <c r="H74" s="6">
        <f>SUM('Table 3.23-CIOSS Summary'!I5,'Table 3.23-CIOSS Summary'!I9,'Table 3.23-CIOSS Summary'!I12)</f>
        <v>-7856.0797521657341</v>
      </c>
      <c r="J74" s="6">
        <f>SUM(F5,F13,F23,F33,F44,F54)</f>
        <v>-7856.0797521657387</v>
      </c>
      <c r="K74" s="143">
        <f t="shared" si="7"/>
        <v>0</v>
      </c>
    </row>
    <row r="75" spans="1:11" hidden="1" x14ac:dyDescent="0.6">
      <c r="A75" s="5"/>
      <c r="B75" s="143">
        <f>B44-SUM(B45:B48)</f>
        <v>0</v>
      </c>
      <c r="G75" s="483" t="s">
        <v>503</v>
      </c>
      <c r="H75" s="6">
        <f>SUM('Table 3.25-REC Summary'!K5,'Table 3.25-REC Summary'!K9,'Table 3.25-REC Summary'!K12)</f>
        <v>3957.3368597022641</v>
      </c>
      <c r="J75" s="6">
        <f>SUM(F7:F8,F15:F16,F25:F26,F35:F36,F46:F47,F56:F57)</f>
        <v>3957.3368597022636</v>
      </c>
      <c r="K75" s="143">
        <f t="shared" si="7"/>
        <v>0</v>
      </c>
    </row>
    <row r="76" spans="1:11" hidden="1" x14ac:dyDescent="0.6">
      <c r="A76" s="5"/>
      <c r="B76" s="143">
        <f>B54-SUM(B55:B58)</f>
        <v>0</v>
      </c>
      <c r="G76" s="67" t="s">
        <v>518</v>
      </c>
      <c r="H76" s="32">
        <f>'Table 3.30-UAA MP Cost'!F24</f>
        <v>498172.5058800368</v>
      </c>
      <c r="J76" s="6">
        <f>F62</f>
        <v>498172.5058800368</v>
      </c>
      <c r="K76" s="143">
        <f t="shared" si="7"/>
        <v>0</v>
      </c>
    </row>
    <row r="77" spans="1:11" hidden="1" x14ac:dyDescent="0.6">
      <c r="A77" s="5"/>
      <c r="B77" s="143">
        <f>B68-SUM('Table 3.23-CIOSS Summary'!C5,'Table 3.23-CIOSS Summary'!C9,'Table 3.23-CIOSS Summary'!C12)</f>
        <v>0</v>
      </c>
      <c r="G77" s="67" t="s">
        <v>315</v>
      </c>
      <c r="H77" s="32">
        <f>SUM(F63:F65)</f>
        <v>14135.943097972535</v>
      </c>
      <c r="I77" s="27"/>
      <c r="J77" s="32">
        <f>SUM(F63:F65)</f>
        <v>14135.943097972535</v>
      </c>
      <c r="K77" s="143">
        <f t="shared" si="7"/>
        <v>0</v>
      </c>
    </row>
    <row r="78" spans="1:11" hidden="1" x14ac:dyDescent="0.6">
      <c r="A78" s="5"/>
      <c r="B78" s="240"/>
      <c r="G78" s="46" t="s">
        <v>314</v>
      </c>
      <c r="H78" s="6">
        <f>SUM(H71:H77)</f>
        <v>599019.73769820388</v>
      </c>
      <c r="J78" s="6">
        <f>SUM(J71:J77)</f>
        <v>599019.73769820388</v>
      </c>
      <c r="K78" s="143">
        <f t="shared" si="7"/>
        <v>0</v>
      </c>
    </row>
    <row r="79" spans="1:11" x14ac:dyDescent="0.6">
      <c r="A79" s="283"/>
      <c r="B79" s="283"/>
      <c r="C79" s="283"/>
      <c r="D79" s="283"/>
      <c r="E79" s="283"/>
      <c r="F79" s="283"/>
      <c r="H79" s="240"/>
    </row>
    <row r="80" spans="1:11" x14ac:dyDescent="0.6">
      <c r="A80" s="284" t="s">
        <v>235</v>
      </c>
    </row>
    <row r="81" spans="1:5" x14ac:dyDescent="0.6">
      <c r="A81" s="241" t="s">
        <v>779</v>
      </c>
      <c r="D81" s="12"/>
      <c r="E81" s="241" t="s">
        <v>620</v>
      </c>
    </row>
    <row r="82" spans="1:5" x14ac:dyDescent="0.6">
      <c r="A82" s="241" t="s">
        <v>66</v>
      </c>
      <c r="D82" s="12"/>
      <c r="E82" s="241" t="s">
        <v>621</v>
      </c>
    </row>
    <row r="83" spans="1:5" x14ac:dyDescent="0.6">
      <c r="A83" s="241" t="s">
        <v>611</v>
      </c>
      <c r="D83" s="12"/>
      <c r="E83" s="241" t="s">
        <v>78</v>
      </c>
    </row>
    <row r="84" spans="1:5" x14ac:dyDescent="0.6">
      <c r="A84" s="241" t="s">
        <v>612</v>
      </c>
      <c r="E84" s="241" t="s">
        <v>780</v>
      </c>
    </row>
    <row r="85" spans="1:5" x14ac:dyDescent="0.6">
      <c r="A85" s="241" t="s">
        <v>15</v>
      </c>
      <c r="E85" s="241" t="s">
        <v>16</v>
      </c>
    </row>
    <row r="86" spans="1:5" x14ac:dyDescent="0.6">
      <c r="A86" s="241" t="s">
        <v>17</v>
      </c>
      <c r="E86" s="241" t="s">
        <v>30</v>
      </c>
    </row>
    <row r="87" spans="1:5" x14ac:dyDescent="0.6">
      <c r="A87" s="241" t="s">
        <v>613</v>
      </c>
      <c r="E87" s="241" t="s">
        <v>691</v>
      </c>
    </row>
    <row r="88" spans="1:5" x14ac:dyDescent="0.6">
      <c r="A88" s="12" t="s">
        <v>614</v>
      </c>
      <c r="E88" s="241" t="s">
        <v>692</v>
      </c>
    </row>
    <row r="89" spans="1:5" x14ac:dyDescent="0.6">
      <c r="A89" s="12" t="s">
        <v>690</v>
      </c>
      <c r="E89" s="241" t="s">
        <v>693</v>
      </c>
    </row>
    <row r="90" spans="1:5" x14ac:dyDescent="0.6">
      <c r="A90" s="241" t="s">
        <v>77</v>
      </c>
      <c r="E90" s="241" t="s">
        <v>694</v>
      </c>
    </row>
    <row r="91" spans="1:5" x14ac:dyDescent="0.6">
      <c r="A91" s="241" t="s">
        <v>617</v>
      </c>
      <c r="E91" s="241" t="s">
        <v>695</v>
      </c>
    </row>
    <row r="92" spans="1:5" x14ac:dyDescent="0.6">
      <c r="A92" s="241" t="s">
        <v>618</v>
      </c>
      <c r="E92" s="241" t="s">
        <v>44</v>
      </c>
    </row>
    <row r="93" spans="1:5" x14ac:dyDescent="0.6">
      <c r="A93" s="241" t="s">
        <v>79</v>
      </c>
    </row>
  </sheetData>
  <phoneticPr fontId="5" type="noConversion"/>
  <printOptions horizontalCentered="1"/>
  <pageMargins left="0.75" right="0.75" top="1" bottom="1" header="0.5" footer="0.5"/>
  <pageSetup scale="82" fitToHeight="2" orientation="landscape" r:id="rId1"/>
  <headerFooter alignWithMargins="0">
    <oddFooter>&amp;L&amp;F</oddFooter>
  </headerFooter>
  <rowBreaks count="1" manualBreakCount="1">
    <brk id="39"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A1:L46"/>
  <sheetViews>
    <sheetView zoomScale="70" workbookViewId="0"/>
  </sheetViews>
  <sheetFormatPr defaultRowHeight="13" x14ac:dyDescent="0.6"/>
  <cols>
    <col min="1" max="1" width="50" customWidth="1"/>
    <col min="2" max="2" width="11.6796875" customWidth="1"/>
    <col min="3" max="3" width="3.453125" customWidth="1"/>
    <col min="4" max="4" width="11.6796875" customWidth="1"/>
    <col min="5" max="5" width="3.453125" customWidth="1"/>
    <col min="6" max="6" width="11.6796875" customWidth="1"/>
    <col min="7" max="7" width="3.453125" customWidth="1"/>
    <col min="8" max="8" width="11.6796875" customWidth="1"/>
    <col min="9" max="9" width="3.453125" customWidth="1"/>
    <col min="10" max="10" width="11.6796875" customWidth="1"/>
    <col min="11" max="11" width="12.6796875" bestFit="1" customWidth="1"/>
  </cols>
  <sheetData>
    <row r="1" spans="1:12" s="13" customFormat="1" ht="15.5" x14ac:dyDescent="0.7">
      <c r="A1" s="157" t="s">
        <v>550</v>
      </c>
      <c r="B1" s="19"/>
      <c r="C1" s="19"/>
      <c r="D1" s="19"/>
      <c r="E1" s="19"/>
      <c r="F1" s="19"/>
      <c r="G1" s="19"/>
      <c r="H1" s="19"/>
      <c r="I1" s="19"/>
      <c r="J1" s="19"/>
    </row>
    <row r="2" spans="1:12" s="13" customFormat="1" ht="15.5" x14ac:dyDescent="0.7">
      <c r="A2" s="158" t="s">
        <v>787</v>
      </c>
      <c r="B2" s="19"/>
      <c r="C2" s="19"/>
      <c r="D2" s="19"/>
      <c r="E2" s="19"/>
      <c r="F2" s="19"/>
      <c r="G2" s="19"/>
      <c r="H2" s="19"/>
      <c r="I2" s="19"/>
      <c r="J2" s="19"/>
    </row>
    <row r="3" spans="1:12" ht="26" x14ac:dyDescent="0.6">
      <c r="B3" s="168" t="s">
        <v>109</v>
      </c>
      <c r="C3" s="168"/>
      <c r="D3" s="169" t="s">
        <v>104</v>
      </c>
      <c r="E3" s="169"/>
      <c r="F3" s="168" t="s">
        <v>110</v>
      </c>
      <c r="G3" s="168"/>
      <c r="H3" s="170" t="s">
        <v>97</v>
      </c>
      <c r="I3" s="170"/>
      <c r="J3" s="171" t="s">
        <v>105</v>
      </c>
    </row>
    <row r="4" spans="1:12" ht="12.75" customHeight="1" x14ac:dyDescent="0.6">
      <c r="A4" s="333" t="s">
        <v>630</v>
      </c>
    </row>
    <row r="5" spans="1:12" ht="12.75" customHeight="1" x14ac:dyDescent="0.6">
      <c r="A5" s="353" t="s">
        <v>307</v>
      </c>
      <c r="B5" s="32">
        <f>'Table 3.15-Route UAA NoPARS'!D99</f>
        <v>50637.000534323401</v>
      </c>
      <c r="C5" s="241" t="s">
        <v>241</v>
      </c>
      <c r="D5" s="488">
        <f>F5/B5</f>
        <v>0.11733344321995352</v>
      </c>
      <c r="E5" s="27"/>
      <c r="F5" s="113">
        <f>'Table 3.15-Route UAA NoPARS'!J99</f>
        <v>5941.4136270227909</v>
      </c>
      <c r="G5" s="241" t="s">
        <v>241</v>
      </c>
      <c r="H5" s="358">
        <f>B5/$B$29</f>
        <v>0.57862525702950574</v>
      </c>
      <c r="J5" s="22">
        <f>D5*H5</f>
        <v>6.789209374130252E-2</v>
      </c>
    </row>
    <row r="6" spans="1:12" ht="12.75" customHeight="1" x14ac:dyDescent="0.6">
      <c r="A6" s="239" t="s">
        <v>520</v>
      </c>
      <c r="B6" s="32">
        <f>SUM('Table 3.18-Nixie UAA'!D16,'Table 3.18-Nixie UAA'!D19,'Table 3.18-Nixie UAA'!D25,'Table 3.18-Nixie UAA'!D28)</f>
        <v>50637.000534323401</v>
      </c>
      <c r="C6" s="241" t="s">
        <v>242</v>
      </c>
      <c r="D6" s="488">
        <f>F6/B6</f>
        <v>0.37022481934503937</v>
      </c>
      <c r="E6" s="27"/>
      <c r="F6" s="113">
        <f>SUM('Table 3.18-Nixie UAA'!I16,'Table 3.18-Nixie UAA'!I19,'Table 3.18-Nixie UAA'!I25,'Table 3.18-Nixie UAA'!I28)</f>
        <v>18747.074374994543</v>
      </c>
      <c r="G6" s="241" t="s">
        <v>242</v>
      </c>
      <c r="H6" s="358">
        <f>B6/$B$29</f>
        <v>0.57862525702950574</v>
      </c>
      <c r="J6" s="22">
        <f>D6*H6</f>
        <v>0.21422143125222573</v>
      </c>
    </row>
    <row r="7" spans="1:12" ht="12.75" customHeight="1" x14ac:dyDescent="0.6">
      <c r="A7" s="353" t="s">
        <v>98</v>
      </c>
      <c r="B7" s="32">
        <f>SUM('Table 3.31-Rating Post Due'!B14,'Table 3.31-Rating Post Due'!B25)</f>
        <v>4203.2886300284044</v>
      </c>
      <c r="C7" s="241" t="s">
        <v>243</v>
      </c>
      <c r="D7" s="488">
        <f>F7/B7</f>
        <v>0.24228881752213957</v>
      </c>
      <c r="E7" s="27"/>
      <c r="F7" s="113">
        <f>SUM('Table 3.31-Rating Post Due'!H14,'Table 3.31-Rating Post Due'!H25)</f>
        <v>1018.4098318738361</v>
      </c>
      <c r="G7" s="241" t="s">
        <v>243</v>
      </c>
      <c r="H7" s="358">
        <f>B7/$B$29</f>
        <v>4.8030668054100251E-2</v>
      </c>
      <c r="J7" s="22">
        <f>D7*H7</f>
        <v>1.1637293767626355E-2</v>
      </c>
    </row>
    <row r="8" spans="1:12" ht="12.75" customHeight="1" x14ac:dyDescent="0.6">
      <c r="A8" s="353" t="s">
        <v>102</v>
      </c>
      <c r="B8" s="32">
        <f>B5</f>
        <v>50637.000534323401</v>
      </c>
      <c r="C8" s="27"/>
      <c r="D8" s="488">
        <f>F8/B8</f>
        <v>0.50767023249069032</v>
      </c>
      <c r="E8" s="27"/>
      <c r="F8" s="113">
        <f>SUM(F5:F7)</f>
        <v>25706.897833891169</v>
      </c>
      <c r="J8" s="22">
        <f>SUM(J5:J7)</f>
        <v>0.29375081876115461</v>
      </c>
    </row>
    <row r="9" spans="1:12" ht="5.15" customHeight="1" x14ac:dyDescent="0.6">
      <c r="B9" s="32"/>
      <c r="C9" s="27"/>
      <c r="D9" s="488"/>
      <c r="E9" s="27"/>
      <c r="F9" s="113"/>
      <c r="H9" s="6"/>
      <c r="K9" s="6"/>
    </row>
    <row r="10" spans="1:12" ht="12.75" customHeight="1" x14ac:dyDescent="0.6">
      <c r="A10" s="15" t="s">
        <v>631</v>
      </c>
      <c r="B10" s="32"/>
      <c r="C10" s="27"/>
      <c r="D10" s="488"/>
      <c r="E10" s="27"/>
      <c r="F10" s="113"/>
      <c r="H10" s="142"/>
    </row>
    <row r="11" spans="1:12" ht="12.75" customHeight="1" x14ac:dyDescent="0.6">
      <c r="A11" s="353" t="s">
        <v>307</v>
      </c>
      <c r="B11" s="32">
        <f>'Table 3.15-Route UAA NoPARS'!D107</f>
        <v>29063.081233870489</v>
      </c>
      <c r="C11" s="241" t="s">
        <v>241</v>
      </c>
      <c r="D11" s="488">
        <f>F11/B11</f>
        <v>7.2267582690346444E-2</v>
      </c>
      <c r="E11" s="27"/>
      <c r="F11" s="113">
        <f>'Table 3.15-Route UAA NoPARS'!J107</f>
        <v>2100.3186263049915</v>
      </c>
      <c r="G11" s="241" t="s">
        <v>241</v>
      </c>
      <c r="H11" s="358">
        <f>B11/$B$29</f>
        <v>0.33210167805296553</v>
      </c>
      <c r="J11" s="22">
        <f>D11*H11</f>
        <v>2.4000185480295498E-2</v>
      </c>
    </row>
    <row r="12" spans="1:12" ht="12.75" customHeight="1" x14ac:dyDescent="0.6">
      <c r="A12" s="239" t="s">
        <v>96</v>
      </c>
      <c r="B12" s="32">
        <f>'Table 3.20-CFS Non-CIOSS'!B14</f>
        <v>29063.081233870478</v>
      </c>
      <c r="C12" s="241" t="s">
        <v>244</v>
      </c>
      <c r="D12" s="488">
        <f>F12/B12</f>
        <v>0.28624185284875653</v>
      </c>
      <c r="E12" s="27"/>
      <c r="F12" s="113">
        <f>'Table 3.20-CFS Non-CIOSS'!H14</f>
        <v>8319.0702218770111</v>
      </c>
      <c r="G12" s="241" t="s">
        <v>244</v>
      </c>
      <c r="H12" s="358">
        <f>B12/$B$29</f>
        <v>0.33210167805296542</v>
      </c>
      <c r="J12" s="22">
        <f>D12*H12</f>
        <v>9.5061399660062038E-2</v>
      </c>
      <c r="K12" s="165"/>
      <c r="L12" s="6"/>
    </row>
    <row r="13" spans="1:12" ht="12.75" customHeight="1" x14ac:dyDescent="0.6">
      <c r="A13" s="239" t="s">
        <v>310</v>
      </c>
      <c r="B13" s="32">
        <f>'Table 3.20-CFS Non-CIOSS'!B50+'Table 3.20-CFS Non-CIOSS'!B61</f>
        <v>4502.7349936258915</v>
      </c>
      <c r="C13" s="241" t="s">
        <v>244</v>
      </c>
      <c r="D13" s="488">
        <f>F13/B13</f>
        <v>0.37486332586844628</v>
      </c>
      <c r="E13" s="27"/>
      <c r="F13" s="113">
        <f>'Table 3.20-CFS Non-CIOSS'!H50+'Table 3.20-CFS Non-CIOSS'!H61</f>
        <v>1687.9102152148389</v>
      </c>
      <c r="G13" s="241" t="s">
        <v>244</v>
      </c>
      <c r="H13" s="358">
        <f>B13/$B$29</f>
        <v>5.145241948634989E-2</v>
      </c>
      <c r="J13" s="22">
        <f>D13*H13</f>
        <v>1.9287625092631575E-2</v>
      </c>
      <c r="K13" s="165"/>
      <c r="L13" s="6"/>
    </row>
    <row r="14" spans="1:12" ht="12.75" customHeight="1" x14ac:dyDescent="0.6">
      <c r="A14" s="353" t="s">
        <v>102</v>
      </c>
      <c r="B14" s="32">
        <f>B11</f>
        <v>29063.081233870489</v>
      </c>
      <c r="C14" s="27"/>
      <c r="D14" s="488">
        <f>F14/B14</f>
        <v>0.41658690508310042</v>
      </c>
      <c r="E14" s="27"/>
      <c r="F14" s="113">
        <f>SUM(F11:F13)</f>
        <v>12107.299063396842</v>
      </c>
      <c r="H14" s="142"/>
      <c r="J14" s="22">
        <f>SUM(J11:J13)</f>
        <v>0.1383492102329891</v>
      </c>
      <c r="K14" s="165"/>
      <c r="L14" s="6"/>
    </row>
    <row r="15" spans="1:12" ht="5.15" customHeight="1" x14ac:dyDescent="0.6">
      <c r="B15" s="32"/>
      <c r="C15" s="27"/>
      <c r="D15" s="488"/>
      <c r="E15" s="27"/>
      <c r="F15" s="113"/>
      <c r="H15" s="142"/>
      <c r="K15" s="165"/>
      <c r="L15" s="6"/>
    </row>
    <row r="16" spans="1:12" ht="12.75" customHeight="1" x14ac:dyDescent="0.6">
      <c r="A16" s="15" t="s">
        <v>632</v>
      </c>
      <c r="B16" s="32"/>
      <c r="C16" s="27"/>
      <c r="D16" s="488"/>
      <c r="E16" s="27"/>
      <c r="F16" s="113"/>
      <c r="H16" s="142"/>
      <c r="L16" s="6"/>
    </row>
    <row r="17" spans="1:12" ht="12.75" customHeight="1" x14ac:dyDescent="0.6">
      <c r="A17" s="353" t="s">
        <v>307</v>
      </c>
      <c r="B17" s="32">
        <f>'Table 3.15-Route UAA NoPARS'!D100</f>
        <v>7812.5180002280385</v>
      </c>
      <c r="C17" s="241" t="s">
        <v>241</v>
      </c>
      <c r="D17" s="488">
        <f>F17/B17</f>
        <v>8.9844045757330376E-2</v>
      </c>
      <c r="E17" s="27"/>
      <c r="F17" s="113">
        <f>'Table 3.15-Route UAA NoPARS'!J100</f>
        <v>701.90822469245506</v>
      </c>
      <c r="G17" s="241" t="s">
        <v>241</v>
      </c>
      <c r="H17" s="358">
        <f>B17/$B$29</f>
        <v>8.9273064917528705E-2</v>
      </c>
      <c r="J17" s="22">
        <f>D17*H17</f>
        <v>8.0206533293475744E-3</v>
      </c>
      <c r="L17" s="6"/>
    </row>
    <row r="18" spans="1:12" ht="12.75" customHeight="1" x14ac:dyDescent="0.6">
      <c r="A18" s="353" t="s">
        <v>309</v>
      </c>
      <c r="B18" s="32">
        <v>0</v>
      </c>
      <c r="C18" s="241" t="s">
        <v>242</v>
      </c>
      <c r="D18" s="488">
        <v>0</v>
      </c>
      <c r="E18" s="27"/>
      <c r="F18" s="113">
        <v>0</v>
      </c>
      <c r="G18" s="241" t="s">
        <v>242</v>
      </c>
      <c r="H18" s="358">
        <f>B18/$B$29</f>
        <v>0</v>
      </c>
      <c r="J18" s="22">
        <f>D18*H18</f>
        <v>0</v>
      </c>
    </row>
    <row r="19" spans="1:12" ht="12.75" customHeight="1" x14ac:dyDescent="0.6">
      <c r="A19" s="82" t="s">
        <v>96</v>
      </c>
      <c r="B19" s="32">
        <f>'Table 3.20-CFS Non-CIOSS'!B71</f>
        <v>7812.5180002280404</v>
      </c>
      <c r="C19" s="241" t="s">
        <v>244</v>
      </c>
      <c r="D19" s="488">
        <f>F19/B19</f>
        <v>2.2822545604229187E-2</v>
      </c>
      <c r="E19" s="27"/>
      <c r="F19" s="113">
        <f>'Table 3.20-CFS Non-CIOSS'!H71</f>
        <v>178.30154834406585</v>
      </c>
      <c r="G19" s="241" t="s">
        <v>244</v>
      </c>
      <c r="H19" s="358">
        <f>B19/$B$29</f>
        <v>8.9273064917528719E-2</v>
      </c>
      <c r="J19" s="22">
        <f>D19*H19</f>
        <v>2.0374385953096119E-3</v>
      </c>
    </row>
    <row r="20" spans="1:12" ht="12.75" customHeight="1" x14ac:dyDescent="0.6">
      <c r="A20" s="100" t="s">
        <v>102</v>
      </c>
      <c r="B20" s="32">
        <f>B17</f>
        <v>7812.5180002280385</v>
      </c>
      <c r="C20" s="27"/>
      <c r="D20" s="488">
        <f>F20/B20</f>
        <v>0.11266659136155956</v>
      </c>
      <c r="E20" s="27"/>
      <c r="F20" s="113">
        <f>SUM(F17:F19)</f>
        <v>880.20977303652091</v>
      </c>
      <c r="J20" s="22">
        <f>SUM(J17:J19)</f>
        <v>1.0058091924657186E-2</v>
      </c>
    </row>
    <row r="21" spans="1:12" ht="5.15" customHeight="1" x14ac:dyDescent="0.6">
      <c r="A21" s="100"/>
      <c r="B21" s="324"/>
      <c r="C21" s="18"/>
      <c r="D21" s="18"/>
      <c r="E21" s="18"/>
      <c r="F21" s="113"/>
      <c r="G21" s="18"/>
      <c r="H21" s="142"/>
      <c r="I21" s="18"/>
      <c r="J21" s="18"/>
    </row>
    <row r="22" spans="1:12" ht="12.75" customHeight="1" x14ac:dyDescent="0.6">
      <c r="A22" s="15" t="s">
        <v>633</v>
      </c>
      <c r="B22" s="324"/>
      <c r="C22" s="18"/>
      <c r="D22" s="18"/>
      <c r="E22" s="18"/>
      <c r="F22" s="113"/>
      <c r="G22" s="18"/>
      <c r="H22" s="142"/>
      <c r="I22" s="18"/>
      <c r="J22" s="18"/>
    </row>
    <row r="23" spans="1:12" ht="12.75" customHeight="1" x14ac:dyDescent="0.6">
      <c r="A23" s="353" t="s">
        <v>320</v>
      </c>
      <c r="B23" s="6">
        <f>SUM(B8,B14,B20)</f>
        <v>87512.599768421933</v>
      </c>
      <c r="D23" s="488">
        <f>'Table 3.30-UAA MP Cost'!D32</f>
        <v>2.4750672521798966</v>
      </c>
      <c r="E23" s="12" t="s">
        <v>586</v>
      </c>
      <c r="F23" s="113">
        <f>B23*D23</f>
        <v>216599.56983994713</v>
      </c>
      <c r="G23" s="18"/>
      <c r="H23" s="358">
        <f>B23/$B$29</f>
        <v>1</v>
      </c>
      <c r="J23" s="22">
        <f>D23*H23</f>
        <v>2.4750672521798966</v>
      </c>
    </row>
    <row r="24" spans="1:12" x14ac:dyDescent="0.6">
      <c r="A24" s="353" t="s">
        <v>99</v>
      </c>
      <c r="B24" s="6">
        <f>'Table 3.35-PD Vols'!D14</f>
        <v>8706.0236236542969</v>
      </c>
      <c r="C24" s="12" t="s">
        <v>582</v>
      </c>
      <c r="D24" s="83">
        <f>'Table 3.32-Accounting Post Due'!I13</f>
        <v>2.8323086898457834</v>
      </c>
      <c r="E24" s="12" t="s">
        <v>587</v>
      </c>
      <c r="F24" s="113">
        <f>B24*D24</f>
        <v>24658.146363278742</v>
      </c>
      <c r="G24" s="18"/>
      <c r="H24" s="358">
        <f>B24/$B$29</f>
        <v>9.9483087540450155E-2</v>
      </c>
      <c r="J24" s="22">
        <f>D24*H24</f>
        <v>0.28176681333350578</v>
      </c>
    </row>
    <row r="25" spans="1:12" x14ac:dyDescent="0.6">
      <c r="A25" s="353" t="s">
        <v>100</v>
      </c>
      <c r="B25" s="6">
        <f>'Table 3.35-PD Vols'!D15</f>
        <v>6079.5801263181629</v>
      </c>
      <c r="C25" s="12" t="s">
        <v>582</v>
      </c>
      <c r="D25" s="83">
        <f>'Table 3.33-Delivery Post Due'!I20</f>
        <v>0.90047096221188039</v>
      </c>
      <c r="E25" s="12" t="s">
        <v>590</v>
      </c>
      <c r="F25" s="113">
        <f>B25*D25</f>
        <v>5474.4853661899415</v>
      </c>
      <c r="G25" s="18"/>
      <c r="H25" s="358">
        <f>B25/$B$29</f>
        <v>6.9470912101869925E-2</v>
      </c>
      <c r="J25" s="22">
        <f>D25*H25</f>
        <v>6.255653906610778E-2</v>
      </c>
    </row>
    <row r="26" spans="1:12" x14ac:dyDescent="0.6">
      <c r="A26" s="497" t="s">
        <v>210</v>
      </c>
      <c r="B26" s="6">
        <f>'Table 3.35-PD Vols'!D16</f>
        <v>1238.6255390094914</v>
      </c>
      <c r="C26" s="12" t="s">
        <v>582</v>
      </c>
      <c r="D26" s="83">
        <f>'Table 3.34-Window Post Due'!I13</f>
        <v>0.47544155968083035</v>
      </c>
      <c r="E26" s="12" t="s">
        <v>591</v>
      </c>
      <c r="F26" s="113">
        <f>B26*D26</f>
        <v>588.89405812718178</v>
      </c>
      <c r="G26" s="18"/>
      <c r="H26" s="358">
        <f>B26/$B$29</f>
        <v>1.4153682353023151E-2</v>
      </c>
      <c r="J26" s="22">
        <f>D26*H26</f>
        <v>6.7292488131483717E-3</v>
      </c>
    </row>
    <row r="27" spans="1:12" x14ac:dyDescent="0.6">
      <c r="A27" s="100" t="s">
        <v>102</v>
      </c>
      <c r="B27" s="324">
        <f>B23</f>
        <v>87512.599768421933</v>
      </c>
      <c r="C27" s="18"/>
      <c r="D27" s="83">
        <f>F27/B27</f>
        <v>2.8261198533926586</v>
      </c>
      <c r="E27" s="18"/>
      <c r="F27" s="175">
        <f>SUM(F23:F26)</f>
        <v>247321.09562754299</v>
      </c>
      <c r="G27" s="18"/>
      <c r="H27" s="142"/>
      <c r="I27" s="18"/>
      <c r="J27" s="552">
        <f>SUM(J23:J26)</f>
        <v>2.8261198533926581</v>
      </c>
    </row>
    <row r="28" spans="1:12" ht="5.15" customHeight="1" x14ac:dyDescent="0.6">
      <c r="A28" s="91"/>
      <c r="B28" s="324"/>
      <c r="C28" s="18"/>
      <c r="D28" s="83"/>
      <c r="E28" s="18"/>
      <c r="F28" s="175"/>
      <c r="G28" s="18"/>
      <c r="H28" s="142"/>
      <c r="I28" s="18"/>
      <c r="J28" s="18"/>
    </row>
    <row r="29" spans="1:12" x14ac:dyDescent="0.6">
      <c r="A29" s="91" t="s">
        <v>494</v>
      </c>
      <c r="B29" s="393">
        <f>SUM(B8,B14,B20)</f>
        <v>87512.599768421933</v>
      </c>
      <c r="C29" s="18"/>
      <c r="D29" s="488"/>
      <c r="E29" s="18"/>
      <c r="F29" s="510">
        <f>SUM(F8,F14,F20,F27)</f>
        <v>286015.50229786756</v>
      </c>
      <c r="G29" s="18"/>
      <c r="H29" s="142"/>
      <c r="I29" s="18"/>
      <c r="J29" s="413">
        <f>SUM(J8,J14,J20,J27)</f>
        <v>3.2682779743114589</v>
      </c>
    </row>
    <row r="30" spans="1:12" hidden="1" x14ac:dyDescent="0.6">
      <c r="A30" s="91"/>
      <c r="B30" s="324"/>
      <c r="C30" s="18"/>
      <c r="D30" s="83"/>
      <c r="E30" s="18"/>
      <c r="F30" s="175"/>
      <c r="G30" s="18"/>
      <c r="H30" s="142"/>
      <c r="I30" s="18"/>
      <c r="J30" s="18"/>
    </row>
    <row r="31" spans="1:12" hidden="1" x14ac:dyDescent="0.6">
      <c r="A31" s="5"/>
      <c r="B31" s="240"/>
      <c r="F31" s="359"/>
      <c r="H31" s="6"/>
      <c r="J31" s="6"/>
    </row>
    <row r="32" spans="1:12" hidden="1" x14ac:dyDescent="0.6">
      <c r="A32" s="23" t="s">
        <v>191</v>
      </c>
      <c r="B32" s="240"/>
      <c r="D32" s="500"/>
      <c r="G32" s="482" t="s">
        <v>311</v>
      </c>
      <c r="H32" s="6">
        <f>SUM('Table 3.15-Route UAA NoPARS'!J99:J100,'Table 3.15-Route UAA NoPARS'!J107)</f>
        <v>8743.6404780202374</v>
      </c>
      <c r="J32" s="6">
        <f>SUM(F5,F11,F17)</f>
        <v>8743.6404780202374</v>
      </c>
      <c r="K32" s="143">
        <f t="shared" ref="K32:K37" si="0">H32-J32</f>
        <v>0</v>
      </c>
    </row>
    <row r="33" spans="1:11" hidden="1" x14ac:dyDescent="0.6">
      <c r="A33" s="5"/>
      <c r="B33" s="240"/>
      <c r="G33" s="46" t="s">
        <v>312</v>
      </c>
      <c r="H33" s="6">
        <f>SUM('Table 3.18-Nixie UAA'!I16:I16,'Table 3.18-Nixie UAA'!I19,'Table 3.18-Nixie UAA'!I25:I25,'Table 3.18-Nixie UAA'!I28)+SUM('Table 3.31-Rating Post Due'!H13,'Table 3.31-Rating Post Due'!H25)</f>
        <v>19765.484206868379</v>
      </c>
      <c r="J33" s="6">
        <f>SUM(F6:F7,F18)</f>
        <v>19765.484206868379</v>
      </c>
      <c r="K33" s="143">
        <f t="shared" si="0"/>
        <v>0</v>
      </c>
    </row>
    <row r="34" spans="1:11" hidden="1" x14ac:dyDescent="0.6">
      <c r="A34" s="5"/>
      <c r="B34" s="240"/>
      <c r="G34" s="46" t="s">
        <v>313</v>
      </c>
      <c r="H34" s="6">
        <f>SUM('Table 3.20-CFS Non-CIOSS'!H14,'Table 3.20-CFS Non-CIOSS'!H50,'Table 3.20-CFS Non-CIOSS'!H61,'Table 3.20-CFS Non-CIOSS'!H71)</f>
        <v>10185.281985435915</v>
      </c>
      <c r="J34" s="6">
        <f>SUM(F12:F13,F19)</f>
        <v>10185.281985435915</v>
      </c>
      <c r="K34" s="143">
        <f t="shared" si="0"/>
        <v>0</v>
      </c>
    </row>
    <row r="35" spans="1:11" hidden="1" x14ac:dyDescent="0.6">
      <c r="A35" s="5"/>
      <c r="B35" s="240"/>
      <c r="G35" s="67" t="s">
        <v>518</v>
      </c>
      <c r="H35" s="32">
        <f>'Table 3.30-UAA MP Cost'!F32</f>
        <v>216599.5698399471</v>
      </c>
      <c r="J35" s="6">
        <f>F23</f>
        <v>216599.56983994713</v>
      </c>
      <c r="K35" s="143">
        <f t="shared" si="0"/>
        <v>0</v>
      </c>
    </row>
    <row r="36" spans="1:11" hidden="1" x14ac:dyDescent="0.6">
      <c r="A36" s="5"/>
      <c r="B36" s="240"/>
      <c r="G36" s="67" t="s">
        <v>315</v>
      </c>
      <c r="H36" s="32">
        <f>SUM(F24:F26)</f>
        <v>30721.525787595863</v>
      </c>
      <c r="I36" s="27"/>
      <c r="J36" s="32">
        <f>SUM(F24:F26)</f>
        <v>30721.525787595863</v>
      </c>
      <c r="K36" s="143">
        <f t="shared" si="0"/>
        <v>0</v>
      </c>
    </row>
    <row r="37" spans="1:11" hidden="1" x14ac:dyDescent="0.6">
      <c r="A37" s="5"/>
      <c r="B37" s="240"/>
      <c r="G37" s="46" t="s">
        <v>314</v>
      </c>
      <c r="H37" s="6">
        <f>SUM(H32:H36)</f>
        <v>286015.5022978675</v>
      </c>
      <c r="J37" s="6">
        <f>SUM(J32:J36)</f>
        <v>286015.50229786756</v>
      </c>
      <c r="K37" s="143">
        <f t="shared" si="0"/>
        <v>0</v>
      </c>
    </row>
    <row r="38" spans="1:11" x14ac:dyDescent="0.6">
      <c r="A38" s="283"/>
      <c r="B38" s="283"/>
      <c r="C38" s="283"/>
      <c r="D38" s="283"/>
      <c r="E38" s="283"/>
      <c r="F38" s="283"/>
      <c r="H38" s="240"/>
    </row>
    <row r="39" spans="1:11" x14ac:dyDescent="0.6">
      <c r="A39" s="284" t="s">
        <v>235</v>
      </c>
    </row>
    <row r="40" spans="1:11" x14ac:dyDescent="0.6">
      <c r="A40" s="241" t="s">
        <v>634</v>
      </c>
      <c r="D40" s="12"/>
      <c r="E40" s="241" t="s">
        <v>639</v>
      </c>
    </row>
    <row r="41" spans="1:11" x14ac:dyDescent="0.6">
      <c r="A41" s="241" t="s">
        <v>635</v>
      </c>
      <c r="D41" s="12"/>
      <c r="E41" s="241" t="s">
        <v>602</v>
      </c>
    </row>
    <row r="42" spans="1:11" x14ac:dyDescent="0.6">
      <c r="A42" s="241" t="s">
        <v>35</v>
      </c>
      <c r="D42" s="12"/>
      <c r="E42" s="241" t="s">
        <v>686</v>
      </c>
    </row>
    <row r="43" spans="1:11" x14ac:dyDescent="0.6">
      <c r="A43" s="241" t="s">
        <v>636</v>
      </c>
      <c r="E43" s="241" t="s">
        <v>687</v>
      </c>
    </row>
    <row r="44" spans="1:11" x14ac:dyDescent="0.6">
      <c r="A44" s="241" t="s">
        <v>637</v>
      </c>
      <c r="E44" s="241" t="s">
        <v>688</v>
      </c>
    </row>
    <row r="45" spans="1:11" x14ac:dyDescent="0.6">
      <c r="A45" s="241" t="s">
        <v>45</v>
      </c>
      <c r="E45" s="241" t="s">
        <v>689</v>
      </c>
    </row>
    <row r="46" spans="1:11" x14ac:dyDescent="0.6">
      <c r="A46" s="241" t="s">
        <v>696</v>
      </c>
    </row>
  </sheetData>
  <phoneticPr fontId="5" type="noConversion"/>
  <printOptions horizontalCentered="1"/>
  <pageMargins left="0.75" right="0.75" top="1" bottom="1" header="0.5" footer="0.5"/>
  <pageSetup orientation="landscape" r:id="rId1"/>
  <headerFooter alignWithMargins="0">
    <oddFooter>&amp;L&amp;F</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K30"/>
  <sheetViews>
    <sheetView zoomScale="70" workbookViewId="0"/>
  </sheetViews>
  <sheetFormatPr defaultRowHeight="13" x14ac:dyDescent="0.6"/>
  <cols>
    <col min="1" max="1" width="50" customWidth="1"/>
    <col min="2" max="2" width="11.6796875" customWidth="1"/>
    <col min="3" max="3" width="3.453125" customWidth="1"/>
    <col min="4" max="4" width="11.6796875" customWidth="1"/>
    <col min="5" max="5" width="3.453125" customWidth="1"/>
    <col min="6" max="6" width="11.6796875" customWidth="1"/>
    <col min="7" max="7" width="3.453125" customWidth="1"/>
    <col min="8" max="8" width="11.6796875" customWidth="1"/>
    <col min="9" max="9" width="3.453125" customWidth="1"/>
    <col min="10" max="10" width="11.6796875" customWidth="1"/>
  </cols>
  <sheetData>
    <row r="1" spans="1:11" s="13" customFormat="1" ht="15.5" x14ac:dyDescent="0.7">
      <c r="A1" s="157" t="s">
        <v>551</v>
      </c>
      <c r="B1" s="19"/>
      <c r="C1" s="19"/>
      <c r="D1" s="19"/>
      <c r="E1" s="19"/>
      <c r="F1" s="19"/>
      <c r="G1" s="19"/>
      <c r="H1" s="19"/>
      <c r="I1" s="19"/>
      <c r="J1" s="19"/>
    </row>
    <row r="2" spans="1:11" s="13" customFormat="1" ht="15.5" x14ac:dyDescent="0.7">
      <c r="A2" s="158" t="s">
        <v>787</v>
      </c>
      <c r="B2" s="19"/>
      <c r="C2" s="19"/>
      <c r="D2" s="19"/>
      <c r="E2" s="19"/>
      <c r="F2" s="19"/>
      <c r="G2" s="19"/>
      <c r="H2" s="19"/>
      <c r="I2" s="19"/>
      <c r="J2" s="19"/>
    </row>
    <row r="3" spans="1:11" ht="26" x14ac:dyDescent="0.6">
      <c r="B3" s="168" t="s">
        <v>109</v>
      </c>
      <c r="C3" s="168"/>
      <c r="D3" s="169" t="s">
        <v>104</v>
      </c>
      <c r="E3" s="169"/>
      <c r="F3" s="168" t="s">
        <v>110</v>
      </c>
      <c r="G3" s="168"/>
      <c r="H3" s="170" t="s">
        <v>97</v>
      </c>
      <c r="I3" s="170"/>
      <c r="J3" s="171" t="s">
        <v>105</v>
      </c>
    </row>
    <row r="4" spans="1:11" x14ac:dyDescent="0.6">
      <c r="A4" s="333"/>
      <c r="B4" s="27"/>
      <c r="C4" s="27"/>
      <c r="D4" s="27"/>
      <c r="E4" s="151"/>
      <c r="F4" s="485"/>
      <c r="G4" s="151"/>
      <c r="H4" s="486"/>
      <c r="I4" s="151"/>
      <c r="J4" s="151"/>
      <c r="K4" s="27"/>
    </row>
    <row r="5" spans="1:11" x14ac:dyDescent="0.6">
      <c r="A5" s="493" t="s">
        <v>574</v>
      </c>
      <c r="B5" s="484"/>
      <c r="C5" s="27"/>
      <c r="D5" s="27"/>
      <c r="E5" s="27"/>
      <c r="F5" s="27"/>
      <c r="G5" s="67"/>
      <c r="H5" s="32"/>
      <c r="I5" s="27"/>
      <c r="J5" s="32"/>
      <c r="K5" s="240"/>
    </row>
    <row r="6" spans="1:11" x14ac:dyDescent="0.6">
      <c r="A6" s="353" t="s">
        <v>491</v>
      </c>
      <c r="B6" s="492">
        <f>'Table 3.9-PARS Wst Summary'!B10</f>
        <v>743967.11692025955</v>
      </c>
      <c r="C6" s="27"/>
      <c r="D6" s="121">
        <f t="shared" ref="D6:D11" si="0">F6/B6</f>
        <v>0.11031476037015193</v>
      </c>
      <c r="E6" s="27"/>
      <c r="F6" s="175">
        <f>'Table 3.9-PARS Wst Summary'!F10</f>
        <v>82070.554226331238</v>
      </c>
      <c r="G6" s="27"/>
      <c r="H6" s="134">
        <f t="shared" ref="H6:H11" si="1">B6/$B$19</f>
        <v>0.21718041305105248</v>
      </c>
      <c r="I6" s="27"/>
      <c r="J6" s="121">
        <f>D6*H6</f>
        <v>2.3958205222817473E-2</v>
      </c>
      <c r="K6" s="27"/>
    </row>
    <row r="7" spans="1:11" x14ac:dyDescent="0.6">
      <c r="A7" s="353" t="s">
        <v>492</v>
      </c>
      <c r="B7" s="492">
        <f>'Table 3.9-PARS Wst Summary'!B18</f>
        <v>147250.24303286234</v>
      </c>
      <c r="C7" s="27"/>
      <c r="D7" s="121">
        <f t="shared" si="0"/>
        <v>9.3666339802405935E-2</v>
      </c>
      <c r="E7" s="27"/>
      <c r="F7" s="175">
        <f>'Table 3.9-PARS Wst Summary'!F18</f>
        <v>13792.391299902942</v>
      </c>
      <c r="G7" s="27"/>
      <c r="H7" s="134">
        <f t="shared" si="1"/>
        <v>4.2985594223746586E-2</v>
      </c>
      <c r="I7" s="27"/>
      <c r="J7" s="121">
        <f>D7*H7</f>
        <v>4.0263032751697856E-3</v>
      </c>
      <c r="K7" s="27"/>
    </row>
    <row r="8" spans="1:11" x14ac:dyDescent="0.6">
      <c r="A8" s="353" t="s">
        <v>493</v>
      </c>
      <c r="B8" s="492">
        <f>'Table 3.9-PARS Wst Summary'!B28</f>
        <v>7750.0127912032904</v>
      </c>
      <c r="D8" s="121">
        <f t="shared" si="0"/>
        <v>0.15805445038206328</v>
      </c>
      <c r="F8" s="175">
        <f>'Table 3.9-PARS Wst Summary'!F28</f>
        <v>1224.9240121675962</v>
      </c>
      <c r="H8" s="134">
        <f t="shared" si="1"/>
        <v>2.262399695986665E-3</v>
      </c>
      <c r="J8" s="121">
        <f>D8*H8</f>
        <v>3.5758234049371938E-4</v>
      </c>
    </row>
    <row r="9" spans="1:11" x14ac:dyDescent="0.6">
      <c r="A9" s="353" t="s">
        <v>501</v>
      </c>
      <c r="B9" s="492">
        <f>'Table 3.9-PARS Wst Summary'!B36</f>
        <v>22051.142798498655</v>
      </c>
      <c r="D9" s="121">
        <f t="shared" si="0"/>
        <v>8.6915489967956644E-2</v>
      </c>
      <c r="F9" s="175">
        <f>'Table 3.9-PARS Wst Summary'!F36</f>
        <v>1916.5858806848892</v>
      </c>
      <c r="H9" s="134">
        <f t="shared" si="1"/>
        <v>6.4372150224201183E-3</v>
      </c>
      <c r="J9" s="121">
        <f>D9*H9</f>
        <v>5.5949369770273564E-4</v>
      </c>
    </row>
    <row r="10" spans="1:11" x14ac:dyDescent="0.6">
      <c r="A10" s="353" t="s">
        <v>500</v>
      </c>
      <c r="B10" s="6">
        <f>'Table 3.9-PARS Wst Summary'!B46</f>
        <v>256479.10445717597</v>
      </c>
      <c r="D10" s="121">
        <f t="shared" si="0"/>
        <v>0.13654655945860183</v>
      </c>
      <c r="F10" s="175">
        <f>'Table 3.9-PARS Wst Summary'!F46</f>
        <v>35021.339286650727</v>
      </c>
      <c r="H10" s="134">
        <f t="shared" si="1"/>
        <v>7.4871908419231692E-2</v>
      </c>
      <c r="J10" s="121">
        <f>D10*H10</f>
        <v>1.0223501494745612E-2</v>
      </c>
    </row>
    <row r="11" spans="1:11" x14ac:dyDescent="0.6">
      <c r="A11" s="353" t="s">
        <v>102</v>
      </c>
      <c r="B11" s="6">
        <f>SUM(B6:B10)</f>
        <v>1177497.6199999999</v>
      </c>
      <c r="D11" s="121">
        <f t="shared" si="0"/>
        <v>0.11382256102202347</v>
      </c>
      <c r="F11" s="175">
        <f>SUM(F6:F10)</f>
        <v>134025.79470573738</v>
      </c>
      <c r="H11" s="134">
        <f t="shared" si="1"/>
        <v>0.34373753041243754</v>
      </c>
      <c r="J11" s="121">
        <f>SUM(J6:J10)</f>
        <v>3.9125086030929325E-2</v>
      </c>
    </row>
    <row r="12" spans="1:11" x14ac:dyDescent="0.6">
      <c r="A12" s="241"/>
      <c r="D12" s="12"/>
      <c r="F12" s="175"/>
      <c r="H12" s="358"/>
    </row>
    <row r="13" spans="1:11" x14ac:dyDescent="0.6">
      <c r="A13" s="333" t="s">
        <v>479</v>
      </c>
      <c r="D13" s="12"/>
      <c r="F13" s="175"/>
      <c r="H13" s="358"/>
    </row>
    <row r="14" spans="1:11" x14ac:dyDescent="0.6">
      <c r="A14" s="353" t="s">
        <v>496</v>
      </c>
      <c r="B14" s="6">
        <f>'Table 3.10-NonPARS Wst Summary'!B7</f>
        <v>2169066.0558747351</v>
      </c>
      <c r="D14" s="121">
        <f>F14/B14</f>
        <v>5.2436389169137745E-2</v>
      </c>
      <c r="F14" s="175">
        <f>'Table 3.10-NonPARS Wst Summary'!F7</f>
        <v>113737.99183941429</v>
      </c>
      <c r="H14" s="134">
        <f>B14/$B$19</f>
        <v>0.63319823045402657</v>
      </c>
      <c r="J14" s="121">
        <f>D14*H14</f>
        <v>3.3202628833296707E-2</v>
      </c>
    </row>
    <row r="15" spans="1:11" x14ac:dyDescent="0.6">
      <c r="A15" s="353" t="s">
        <v>497</v>
      </c>
      <c r="B15" s="6">
        <f>'Table 3.10-NonPARS Wst Summary'!B12</f>
        <v>47136.636426107492</v>
      </c>
      <c r="D15" s="121">
        <f>F15/B15</f>
        <v>0.38279027441282198</v>
      </c>
      <c r="F15" s="175">
        <f>'Table 3.10-NonPARS Wst Summary'!F12</f>
        <v>18043.445992447108</v>
      </c>
      <c r="H15" s="134">
        <f>B15/$B$19</f>
        <v>1.3760223988443508E-2</v>
      </c>
      <c r="J15" s="121">
        <f>D15*H15</f>
        <v>5.2672799165181866E-3</v>
      </c>
    </row>
    <row r="16" spans="1:11" x14ac:dyDescent="0.6">
      <c r="A16" s="353" t="s">
        <v>498</v>
      </c>
      <c r="B16" s="6">
        <f>'Table 3.10-NonPARS Wst Summary'!B18</f>
        <v>31871.572698637367</v>
      </c>
      <c r="D16" s="121">
        <f>F16/B16</f>
        <v>0.15978079205970114</v>
      </c>
      <c r="F16" s="175">
        <f>'Table 3.10-NonPARS Wst Summary'!F18</f>
        <v>5092.4651299766247</v>
      </c>
      <c r="H16" s="134">
        <f>B16/$B$19</f>
        <v>9.3040151450922495E-3</v>
      </c>
      <c r="J16" s="121">
        <f>D16*H16</f>
        <v>1.4866029092182949E-3</v>
      </c>
    </row>
    <row r="17" spans="1:11" x14ac:dyDescent="0.6">
      <c r="A17" s="353" t="s">
        <v>102</v>
      </c>
      <c r="B17" s="6">
        <f>SUM(B14:B16)</f>
        <v>2248074.26499948</v>
      </c>
      <c r="D17" s="121">
        <f>F17/B17</f>
        <v>6.0884956112368327E-2</v>
      </c>
      <c r="F17" s="175">
        <f>SUM(F14:F16)</f>
        <v>136873.90296183803</v>
      </c>
      <c r="H17" s="134">
        <f>B17/$B$19</f>
        <v>0.6562624695875624</v>
      </c>
      <c r="J17" s="121">
        <f>SUM(J14:J16)</f>
        <v>3.9956511659033189E-2</v>
      </c>
    </row>
    <row r="18" spans="1:11" x14ac:dyDescent="0.6">
      <c r="F18" s="175"/>
    </row>
    <row r="19" spans="1:11" x14ac:dyDescent="0.6">
      <c r="A19" s="480" t="s">
        <v>269</v>
      </c>
      <c r="B19" s="356">
        <f>SUM(B11,B17)</f>
        <v>3425571.8849994801</v>
      </c>
      <c r="C19" s="16"/>
      <c r="D19" s="16"/>
      <c r="E19" s="16"/>
      <c r="F19" s="510">
        <f>SUM(F11,F17)</f>
        <v>270899.69766757544</v>
      </c>
      <c r="G19" s="16"/>
      <c r="H19" s="509"/>
      <c r="I19" s="16"/>
      <c r="J19" s="354">
        <f>SUM(J11,J17)</f>
        <v>7.9081597689962507E-2</v>
      </c>
    </row>
    <row r="21" spans="1:11" hidden="1" x14ac:dyDescent="0.6">
      <c r="A21" s="14" t="s">
        <v>191</v>
      </c>
      <c r="B21" s="143">
        <v>0</v>
      </c>
      <c r="G21" s="482" t="s">
        <v>311</v>
      </c>
      <c r="H21" s="6">
        <f>SUM('Table 3.14-Route UAA'!J101,'Table 3.14-Route UAA'!J108,'Table 3.14-Route UAA'!J111)</f>
        <v>101314.37411323393</v>
      </c>
      <c r="J21" s="6">
        <f>'Table 3.9-PARS Wst Summary'!J50+'Table 3.10-NonPARS Wst Summary'!J22</f>
        <v>101314.37411323393</v>
      </c>
      <c r="K21" s="143">
        <f t="shared" ref="K21:K26" si="2">H21-J21</f>
        <v>0</v>
      </c>
    </row>
    <row r="22" spans="1:11" hidden="1" x14ac:dyDescent="0.6">
      <c r="B22" s="143">
        <v>0</v>
      </c>
      <c r="G22" s="46" t="s">
        <v>312</v>
      </c>
      <c r="H22" s="6">
        <f>SUM('Table 3.18-Nixie UAA'!I8,'Table 3.18-Nixie UAA'!I11,'Table 3.18-Nixie UAA'!I20,'Table 3.18-Nixie UAA'!I29,'Table 3.18-Nixie UAA'!I35,'Table 3.18-Nixie UAA'!I37)</f>
        <v>43134.936531855739</v>
      </c>
      <c r="J22" s="6">
        <f>'Table 3.9-PARS Wst Summary'!J51+'Table 3.10-NonPARS Wst Summary'!J23</f>
        <v>43134.936531855747</v>
      </c>
      <c r="K22" s="143">
        <f t="shared" si="2"/>
        <v>0</v>
      </c>
    </row>
    <row r="23" spans="1:11" hidden="1" x14ac:dyDescent="0.6">
      <c r="B23" s="143">
        <v>0</v>
      </c>
      <c r="G23" s="46" t="s">
        <v>313</v>
      </c>
      <c r="H23" s="6">
        <f>SUM('Table 3.20-CFS Non-CIOSS'!H19,'Table 3.20-CFS Non-CIOSS'!H76,'Table 3.21-CFS CIOSS Rejs'!H19,'Table 3.21-CFS CIOSS Rejs'!H76)</f>
        <v>14971.111658747541</v>
      </c>
      <c r="J23" s="6">
        <f>'Table 3.9-PARS Wst Summary'!J52+'Table 3.10-NonPARS Wst Summary'!J24</f>
        <v>14971.111658747543</v>
      </c>
      <c r="K23" s="143">
        <f t="shared" si="2"/>
        <v>0</v>
      </c>
    </row>
    <row r="24" spans="1:11" hidden="1" x14ac:dyDescent="0.6">
      <c r="B24" s="240"/>
      <c r="G24" s="483" t="s">
        <v>502</v>
      </c>
      <c r="H24" s="6">
        <f>SUM('Table 3.23-CIOSS Summary'!I6,'Table 3.23-CIOSS Summary'!I10,'Table 3.23-CIOSS Summary'!I13)</f>
        <v>65004.480575956462</v>
      </c>
      <c r="J24" s="6">
        <f>'Table 3.9-PARS Wst Summary'!J53</f>
        <v>65004.480575956455</v>
      </c>
      <c r="K24" s="143">
        <f t="shared" si="2"/>
        <v>0</v>
      </c>
    </row>
    <row r="25" spans="1:11" hidden="1" x14ac:dyDescent="0.6">
      <c r="B25" s="240"/>
      <c r="G25" s="483" t="s">
        <v>503</v>
      </c>
      <c r="H25" s="6">
        <f>SUM('Table 3.25-REC Summary'!K6,'Table 3.25-REC Summary'!K10,'Table 3.25-REC Summary'!K13)</f>
        <v>46474.794787781728</v>
      </c>
      <c r="J25" s="6">
        <f>'Table 3.9-PARS Wst Summary'!J54</f>
        <v>46474.794787781721</v>
      </c>
      <c r="K25" s="143">
        <f t="shared" si="2"/>
        <v>0</v>
      </c>
    </row>
    <row r="26" spans="1:11" hidden="1" x14ac:dyDescent="0.6">
      <c r="B26" s="240"/>
      <c r="G26" s="46" t="s">
        <v>314</v>
      </c>
      <c r="H26" s="6">
        <f>SUM(H21:H25)</f>
        <v>270899.69766757538</v>
      </c>
      <c r="J26" s="6">
        <f>SUM(J21:J25)</f>
        <v>270899.69766757544</v>
      </c>
      <c r="K26" s="143">
        <f t="shared" si="2"/>
        <v>0</v>
      </c>
    </row>
    <row r="27" spans="1:11" x14ac:dyDescent="0.6">
      <c r="A27" s="283"/>
      <c r="B27" s="283"/>
      <c r="C27" s="283"/>
      <c r="D27" s="283"/>
      <c r="E27" s="283"/>
      <c r="F27" s="283"/>
    </row>
    <row r="28" spans="1:11" x14ac:dyDescent="0.6">
      <c r="A28" s="284" t="s">
        <v>235</v>
      </c>
    </row>
    <row r="29" spans="1:11" x14ac:dyDescent="0.6">
      <c r="A29" s="241" t="s">
        <v>640</v>
      </c>
      <c r="D29" s="12"/>
    </row>
    <row r="30" spans="1:11" x14ac:dyDescent="0.6">
      <c r="A30" s="241" t="s">
        <v>641</v>
      </c>
    </row>
  </sheetData>
  <phoneticPr fontId="5" type="noConversion"/>
  <printOptions horizontalCentered="1"/>
  <pageMargins left="0.75" right="0.75" top="1" bottom="1" header="0.5" footer="0.5"/>
  <pageSetup orientation="landscape"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23</vt:i4>
      </vt:variant>
    </vt:vector>
  </HeadingPairs>
  <TitlesOfParts>
    <vt:vector size="69" baseType="lpstr">
      <vt:lpstr>Cover</vt:lpstr>
      <vt:lpstr>Table 3.1-UAA Summary</vt:lpstr>
      <vt:lpstr>Table 3.2-Total Fwd Summary</vt:lpstr>
      <vt:lpstr>Table 3.3-PARS Fwd Summary</vt:lpstr>
      <vt:lpstr>Table 3.4-NonPARS Fwd Summary</vt:lpstr>
      <vt:lpstr>Table 3.5-Total RTS Summary</vt:lpstr>
      <vt:lpstr>Table 3.6-PARS RTS Summary</vt:lpstr>
      <vt:lpstr>Table 3.7-NonPARS RTS Summary</vt:lpstr>
      <vt:lpstr>Table 3.8-Total Wst Summary</vt:lpstr>
      <vt:lpstr>Table 3.9-PARS Wst Summary</vt:lpstr>
      <vt:lpstr>Table 3.10-NonPARS Wst Summary</vt:lpstr>
      <vt:lpstr>Table 3.11-Form3547 Costs</vt:lpstr>
      <vt:lpstr>Table 3.12-Form3579 Costs</vt:lpstr>
      <vt:lpstr>Table 3.13-COA Costs</vt:lpstr>
      <vt:lpstr>Table 3.14-Route UAA</vt:lpstr>
      <vt:lpstr>Table 3.15-Route UAA NoPARS</vt:lpstr>
      <vt:lpstr>Table 3.16-Route UAA PARS</vt:lpstr>
      <vt:lpstr>Table 3.17-No Record Mail</vt:lpstr>
      <vt:lpstr>Table 3.18-Nixie UAA</vt:lpstr>
      <vt:lpstr>Table 3.19-CFS UAA</vt:lpstr>
      <vt:lpstr>Table 3.20-CFS Non-CIOSS</vt:lpstr>
      <vt:lpstr>Table 3.21-CFS CIOSS Rejs</vt:lpstr>
      <vt:lpstr>Table 3.22-CFS Key Rates</vt:lpstr>
      <vt:lpstr>Table 3.23-CIOSS Summary</vt:lpstr>
      <vt:lpstr>Table 3.24-CIOSS Detail</vt:lpstr>
      <vt:lpstr>Table 3.25-REC Summary</vt:lpstr>
      <vt:lpstr>Table 3.26-REC Detail NonACS</vt:lpstr>
      <vt:lpstr>Table 3.27-REC Detail ACS</vt:lpstr>
      <vt:lpstr>Table 3.28-REC Volume</vt:lpstr>
      <vt:lpstr>Table 3.29-UAA MP Units</vt:lpstr>
      <vt:lpstr>Table 3.30-UAA MP Cost</vt:lpstr>
      <vt:lpstr>Table 3.31-Rating Post Due</vt:lpstr>
      <vt:lpstr>Table 3.32-Accounting Post Due</vt:lpstr>
      <vt:lpstr>Table 3.33-Delivery Post Due</vt:lpstr>
      <vt:lpstr>Table 3.34-Window Post Due</vt:lpstr>
      <vt:lpstr>Table 3.35-PD Vols</vt:lpstr>
      <vt:lpstr>Table 3.36-Process Form 3546</vt:lpstr>
      <vt:lpstr>Table 3.37-Notice Inputs</vt:lpstr>
      <vt:lpstr>Table 3.38-Form 3547 Dist</vt:lpstr>
      <vt:lpstr>Table 3.39-Form 3579 Dist</vt:lpstr>
      <vt:lpstr>Table 3.40-Form Processing</vt:lpstr>
      <vt:lpstr>Table 3.41-Man Notice</vt:lpstr>
      <vt:lpstr>Table 3.42-Vol Flows</vt:lpstr>
      <vt:lpstr>Table 3.43-Elec Notice</vt:lpstr>
      <vt:lpstr>Table 3.44-One Code ACS</vt:lpstr>
      <vt:lpstr>checksum</vt:lpstr>
      <vt:lpstr>'Table 3.11-Form3547 Costs'!Print_Area</vt:lpstr>
      <vt:lpstr>'Table 3.13-COA Costs'!Print_Area</vt:lpstr>
      <vt:lpstr>'Table 3.14-Route UAA'!Print_Area</vt:lpstr>
      <vt:lpstr>'Table 3.15-Route UAA NoPARS'!Print_Area</vt:lpstr>
      <vt:lpstr>'Table 3.16-Route UAA PARS'!Print_Area</vt:lpstr>
      <vt:lpstr>'Table 3.17-No Record Mail'!Print_Area</vt:lpstr>
      <vt:lpstr>'Table 3.18-Nixie UAA'!Print_Area</vt:lpstr>
      <vt:lpstr>'Table 3.19-CFS UAA'!Print_Area</vt:lpstr>
      <vt:lpstr>'Table 3.1-UAA Summary'!Print_Area</vt:lpstr>
      <vt:lpstr>'Table 3.21-CFS CIOSS Rejs'!Print_Area</vt:lpstr>
      <vt:lpstr>'Table 3.22-CFS Key Rates'!Print_Area</vt:lpstr>
      <vt:lpstr>'Table 3.26-REC Detail NonACS'!Print_Area</vt:lpstr>
      <vt:lpstr>'Table 3.27-REC Detail ACS'!Print_Area</vt:lpstr>
      <vt:lpstr>'Table 3.29-UAA MP Units'!Print_Area</vt:lpstr>
      <vt:lpstr>'Table 3.31-Rating Post Due'!Print_Area</vt:lpstr>
      <vt:lpstr>'Table 3.32-Accounting Post Due'!Print_Area</vt:lpstr>
      <vt:lpstr>'Table 3.33-Delivery Post Due'!Print_Area</vt:lpstr>
      <vt:lpstr>'Table 3.34-Window Post Due'!Print_Area</vt:lpstr>
      <vt:lpstr>'Table 3.36-Process Form 3546'!Print_Area</vt:lpstr>
      <vt:lpstr>'Table 3.40-Form Processing'!Print_Area</vt:lpstr>
      <vt:lpstr>'Table 3.41-Man Notice'!Print_Area</vt:lpstr>
      <vt:lpstr>'Table 3.43-Elec Notice'!Print_Area</vt:lpstr>
      <vt:lpstr>'Table 3.44-One Code ACS'!Print_Area</vt:lpstr>
    </vt:vector>
  </TitlesOfParts>
  <Company>Christensen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jdreaser</dc:creator>
  <cp:lastModifiedBy>Sam Cutting</cp:lastModifiedBy>
  <cp:lastPrinted>2006-04-11T13:06:23Z</cp:lastPrinted>
  <dcterms:created xsi:type="dcterms:W3CDTF">2004-11-02T16:13:05Z</dcterms:created>
  <dcterms:modified xsi:type="dcterms:W3CDTF">2021-12-20T16:25:01Z</dcterms:modified>
</cp:coreProperties>
</file>