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2767" windowWidth="7650" windowHeight="8040" tabRatio="744" firstSheet="38" activeTab="45"/>
  </bookViews>
  <sheets>
    <sheet name="Cover" sheetId="1" r:id="rId1"/>
    <sheet name="Table 3.1-UAA Summary" sheetId="2" r:id="rId2"/>
    <sheet name="Table 3.2-Total Fwd Summary" sheetId="3" r:id="rId3"/>
    <sheet name="Table 3.3-PARS Fwd Summary" sheetId="4" r:id="rId4"/>
    <sheet name="Table 3.4-NonPARS Fwd Summary" sheetId="5" r:id="rId5"/>
    <sheet name="Table 3.5-Total RTS Summary" sheetId="6" r:id="rId6"/>
    <sheet name="Table 3.6-PARS RTS Summary" sheetId="7" r:id="rId7"/>
    <sheet name="Table 3.7-NonPARS RTS Summary" sheetId="8" r:id="rId8"/>
    <sheet name="Table 3.8-Total Wst Summary" sheetId="9" r:id="rId9"/>
    <sheet name="Table 3.9-PARS Wst Summary" sheetId="10" r:id="rId10"/>
    <sheet name="Table 3.10-NonPARS Wst Summary" sheetId="11" r:id="rId11"/>
    <sheet name="Table 3.11-Form3547 Costs" sheetId="12" r:id="rId12"/>
    <sheet name="Table 3.12-Form3579 Costs" sheetId="13" r:id="rId13"/>
    <sheet name="Table 3.13-COA Costs" sheetId="14" r:id="rId14"/>
    <sheet name="Table 3.14-Route UAA" sheetId="15" r:id="rId15"/>
    <sheet name="Table 3.15-Route UAA NoPARS" sheetId="16" r:id="rId16"/>
    <sheet name="Table 3.16-Route UAA PARS" sheetId="17" r:id="rId17"/>
    <sheet name="Table 3.17-No Record Mail" sheetId="18" r:id="rId18"/>
    <sheet name="Table 3.18-Nixie UAA" sheetId="19" r:id="rId19"/>
    <sheet name="Table 3.19-CFS UAA" sheetId="20" r:id="rId20"/>
    <sheet name="Table 3.20-CFS Non-CIOSS" sheetId="21" r:id="rId21"/>
    <sheet name="Table 3.21-CFS CIOSS Rejs" sheetId="22" r:id="rId22"/>
    <sheet name="Table 3.22-CFS Key Rates" sheetId="23" r:id="rId23"/>
    <sheet name="Table 3.23-CIOSS Summary" sheetId="24" r:id="rId24"/>
    <sheet name="Table 3.24-CIOSS Detail" sheetId="25" r:id="rId25"/>
    <sheet name="Table 3.25-REC Summary" sheetId="26" r:id="rId26"/>
    <sheet name="Table 3.26-REC Detail NonACS" sheetId="27" r:id="rId27"/>
    <sheet name="Table 3.27-REC Detail ACS" sheetId="28" r:id="rId28"/>
    <sheet name="Table 3.28-REC Volume" sheetId="29" r:id="rId29"/>
    <sheet name="Table 3.29-UAA MP Units" sheetId="30" r:id="rId30"/>
    <sheet name="Table 3.30-UAA MP Cost" sheetId="31" r:id="rId31"/>
    <sheet name="Table 3.31-Rating Post Due" sheetId="32" r:id="rId32"/>
    <sheet name="Table 3.32-Accounting Post Due" sheetId="33" r:id="rId33"/>
    <sheet name="Table 3.33-Delivery Post Due" sheetId="34" r:id="rId34"/>
    <sheet name="Table 3.34-Window Post Due" sheetId="35" r:id="rId35"/>
    <sheet name="Table 3.35-PD Vols" sheetId="36" r:id="rId36"/>
    <sheet name="Table 3.36-Process Form 3546" sheetId="37" r:id="rId37"/>
    <sheet name="Table 3.37-Notice Inputs" sheetId="38" r:id="rId38"/>
    <sheet name="Table 3.38-Form 3547 Dist" sheetId="39" r:id="rId39"/>
    <sheet name="Table 3.39-Form 3579 Dist" sheetId="40" r:id="rId40"/>
    <sheet name="Table 3.40-Form Processing" sheetId="41" r:id="rId41"/>
    <sheet name="Table 3.41-Man Notice" sheetId="42" r:id="rId42"/>
    <sheet name="Table 3.42-Vol Flows" sheetId="43" r:id="rId43"/>
    <sheet name="Table 3.43-Elec Notice" sheetId="44" r:id="rId44"/>
    <sheet name="Table 3.44-One Code ACS" sheetId="45" r:id="rId45"/>
    <sheet name="checksum" sheetId="46" r:id="rId46"/>
  </sheets>
  <externalReferences>
    <externalReference r:id="rId49"/>
    <externalReference r:id="rId50"/>
    <externalReference r:id="rId51"/>
  </externalReference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fullCalcOnLoad="1"/>
</workbook>
</file>

<file path=xl/comments10.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waste.</t>
        </r>
      </text>
    </comment>
    <comment ref="B27" authorId="0">
      <text>
        <r>
          <rPr>
            <b/>
            <sz val="8"/>
            <rFont val="Tahoma"/>
            <family val="2"/>
          </rPr>
          <t>stcutting:</t>
        </r>
        <r>
          <rPr>
            <sz val="8"/>
            <rFont val="Tahoma"/>
            <family val="2"/>
          </rPr>
          <t xml:space="preserve">
It is necessary to subtract out INT waste.</t>
        </r>
      </text>
    </comment>
  </commentList>
</comments>
</file>

<file path=xl/comments11.xml><?xml version="1.0" encoding="utf-8"?>
<comments xmlns="http://schemas.openxmlformats.org/spreadsheetml/2006/main">
  <authors>
    <author>stcutting</author>
  </authors>
  <commentList>
    <comment ref="B5" authorId="0">
      <text>
        <r>
          <rPr>
            <b/>
            <sz val="8"/>
            <rFont val="Tahoma"/>
            <family val="2"/>
          </rPr>
          <t>stcutting:</t>
        </r>
        <r>
          <rPr>
            <sz val="8"/>
            <rFont val="Tahoma"/>
            <family val="2"/>
          </rPr>
          <t xml:space="preserve">
Carrier-identified non-forwardable waste is included in  PARS route table but is categorized here as non-PARS since these pieces never make it to the CIOSS for processing.</t>
        </r>
      </text>
    </comment>
  </commentList>
</comments>
</file>

<file path=xl/comments12.xml><?xml version="1.0" encoding="utf-8"?>
<comments xmlns="http://schemas.openxmlformats.org/spreadsheetml/2006/main">
  <authors>
    <author>stcutting</author>
  </authors>
  <commentList>
    <comment ref="J5" authorId="0">
      <text>
        <r>
          <rPr>
            <b/>
            <sz val="8"/>
            <rFont val="Tahoma"/>
            <family val="2"/>
          </rPr>
          <t>stcutting:</t>
        </r>
        <r>
          <rPr>
            <sz val="8"/>
            <rFont val="Tahoma"/>
            <family val="2"/>
          </rPr>
          <t xml:space="preserve">
Forms generated on CIOSS have a one-to-one form-to -envelope factor.</t>
        </r>
      </text>
    </comment>
  </commentList>
</comments>
</file>

<file path=xl/comments14.xml><?xml version="1.0" encoding="utf-8"?>
<comments xmlns="http://schemas.openxmlformats.org/spreadsheetml/2006/main">
  <authors>
    <author>stcutting</author>
  </authors>
  <commentList>
    <comment ref="C6" authorId="0">
      <text>
        <r>
          <rPr>
            <b/>
            <sz val="8"/>
            <rFont val="Tahoma"/>
            <family val="2"/>
          </rPr>
          <t>stcutting:</t>
        </r>
        <r>
          <rPr>
            <sz val="8"/>
            <rFont val="Tahoma"/>
            <family val="2"/>
          </rPr>
          <t xml:space="preserve">
Handing out forms, helping to complete forms.</t>
        </r>
      </text>
    </comment>
    <comment ref="D67" authorId="0">
      <text>
        <r>
          <rPr>
            <b/>
            <sz val="8"/>
            <rFont val="Tahoma"/>
            <family val="2"/>
          </rPr>
          <t>stcutting:</t>
        </r>
        <r>
          <rPr>
            <sz val="8"/>
            <rFont val="Tahoma"/>
            <family val="2"/>
          </rPr>
          <t xml:space="preserve">
These volumes do not contribute to the COA total.  They are already included above.</t>
        </r>
      </text>
    </comment>
  </commentList>
</comments>
</file>

<file path=xl/comments15.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6.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7.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9.xml><?xml version="1.0" encoding="utf-8"?>
<comments xmlns="http://schemas.openxmlformats.org/spreadsheetml/2006/main">
  <authors>
    <author>stcutting</author>
  </authors>
  <commentList>
    <comment ref="A16" authorId="0">
      <text>
        <r>
          <rPr>
            <b/>
            <sz val="8"/>
            <rFont val="Tahoma"/>
            <family val="2"/>
          </rPr>
          <t>stcutting:</t>
        </r>
        <r>
          <rPr>
            <sz val="8"/>
            <rFont val="Tahoma"/>
            <family val="2"/>
          </rPr>
          <t xml:space="preserve">
Postage due activities subtracted out.</t>
        </r>
      </text>
    </comment>
    <comment ref="A24" authorId="0">
      <text>
        <r>
          <rPr>
            <b/>
            <sz val="8"/>
            <rFont val="Tahoma"/>
            <family val="2"/>
          </rPr>
          <t>stcutting:</t>
        </r>
        <r>
          <rPr>
            <sz val="8"/>
            <rFont val="Tahoma"/>
            <family val="2"/>
          </rPr>
          <t xml:space="preserve">
Postage due activities subtracted out.</t>
        </r>
      </text>
    </comment>
    <comment ref="A25" authorId="0">
      <text>
        <r>
          <rPr>
            <b/>
            <sz val="8"/>
            <rFont val="Tahoma"/>
            <family val="2"/>
          </rPr>
          <t>stcutting:</t>
        </r>
        <r>
          <rPr>
            <sz val="8"/>
            <rFont val="Tahoma"/>
            <family val="2"/>
          </rPr>
          <t xml:space="preserve">
Postage due activities subtracted out.</t>
        </r>
      </text>
    </comment>
    <comment ref="A33" authorId="0">
      <text>
        <r>
          <rPr>
            <b/>
            <sz val="8"/>
            <rFont val="Tahoma"/>
            <family val="2"/>
          </rPr>
          <t>stcutting:</t>
        </r>
        <r>
          <rPr>
            <sz val="8"/>
            <rFont val="Tahoma"/>
            <family val="2"/>
          </rPr>
          <t xml:space="preserve">
Includes INT old COA, CIR COA, and CIR Bad Add.</t>
        </r>
      </text>
    </comment>
  </commentList>
</comments>
</file>

<file path=xl/comments2.xml><?xml version="1.0" encoding="utf-8"?>
<comments xmlns="http://schemas.openxmlformats.org/spreadsheetml/2006/main">
  <authors>
    <author>stcutting</author>
  </authors>
  <commentList>
    <comment ref="F50" authorId="0">
      <text>
        <r>
          <rPr>
            <b/>
            <sz val="8"/>
            <rFont val="Tahoma"/>
            <family val="2"/>
          </rPr>
          <t>stcutting:</t>
        </r>
        <r>
          <rPr>
            <sz val="8"/>
            <rFont val="Tahoma"/>
            <family val="2"/>
          </rPr>
          <t xml:space="preserve">
All ACS pieces go through the CIOSS.  Some are finalized in the AFR without needing REC keying.  Some are rejected from the CIOSS and must go to CFS.</t>
        </r>
      </text>
    </comment>
    <comment ref="F51" authorId="0">
      <text>
        <r>
          <rPr>
            <b/>
            <sz val="8"/>
            <rFont val="Tahoma"/>
            <family val="2"/>
          </rPr>
          <t>stcutting:</t>
        </r>
        <r>
          <rPr>
            <sz val="8"/>
            <rFont val="Tahoma"/>
            <family val="2"/>
          </rPr>
          <t xml:space="preserve">
ditto</t>
        </r>
      </text>
    </comment>
    <comment ref="I52" authorId="0">
      <text>
        <r>
          <rPr>
            <b/>
            <sz val="8"/>
            <rFont val="Tahoma"/>
            <family val="2"/>
          </rPr>
          <t>stcutting:</t>
        </r>
        <r>
          <rPr>
            <sz val="8"/>
            <rFont val="Tahoma"/>
            <family val="2"/>
          </rPr>
          <t xml:space="preserve">
not counted in total volume.</t>
        </r>
      </text>
    </comment>
  </commentList>
</comments>
</file>

<file path=xl/comments27.xml><?xml version="1.0" encoding="utf-8"?>
<comments xmlns="http://schemas.openxmlformats.org/spreadsheetml/2006/main">
  <authors>
    <author>stcutting</author>
  </authors>
  <commentList>
    <comment ref="G8" authorId="0">
      <text>
        <r>
          <rPr>
            <b/>
            <sz val="8"/>
            <rFont val="Tahoma"/>
            <family val="2"/>
          </rPr>
          <t>stcutting:</t>
        </r>
        <r>
          <rPr>
            <sz val="8"/>
            <rFont val="Tahoma"/>
            <family val="2"/>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38.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linked to CFS dist to capture change in volume.</t>
        </r>
      </text>
    </comment>
  </commentList>
</comments>
</file>

<file path=xl/comments4.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It is necessary to subtract out INT Fwds.</t>
        </r>
      </text>
    </comment>
    <comment ref="B9" authorId="0">
      <text>
        <r>
          <rPr>
            <b/>
            <sz val="8"/>
            <rFont val="Tahoma"/>
            <family val="2"/>
          </rPr>
          <t>stcutting:</t>
        </r>
        <r>
          <rPr>
            <sz val="8"/>
            <rFont val="Tahoma"/>
            <family val="2"/>
          </rPr>
          <t xml:space="preserve">
It is necessary to subtract out CIF forwards.</t>
        </r>
      </text>
    </comment>
  </commentList>
</comments>
</file>

<file path=xl/comments7.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RTS.</t>
        </r>
      </text>
    </comment>
    <comment ref="B27" authorId="0">
      <text>
        <r>
          <rPr>
            <b/>
            <sz val="8"/>
            <rFont val="Tahoma"/>
            <family val="2"/>
          </rPr>
          <t>stcutting:</t>
        </r>
        <r>
          <rPr>
            <sz val="8"/>
            <rFont val="Tahoma"/>
            <family val="2"/>
          </rPr>
          <t xml:space="preserve">
It is necessary to subtract out INT RTS.</t>
        </r>
      </text>
    </comment>
    <comment ref="B9" authorId="0">
      <text>
        <r>
          <rPr>
            <b/>
            <sz val="8"/>
            <rFont val="Tahoma"/>
            <family val="2"/>
          </rPr>
          <t>stcutting:</t>
        </r>
        <r>
          <rPr>
            <sz val="8"/>
            <rFont val="Tahoma"/>
            <family val="2"/>
          </rPr>
          <t xml:space="preserve">
It is necessary to subtract out  mail that is CIR (both old COA and BadAdd CIR).</t>
        </r>
      </text>
    </comment>
    <comment ref="B37" authorId="0">
      <text>
        <r>
          <rPr>
            <b/>
            <sz val="8"/>
            <rFont val="Tahoma"/>
            <family val="2"/>
          </rPr>
          <t>stcutting:</t>
        </r>
        <r>
          <rPr>
            <sz val="8"/>
            <rFont val="Tahoma"/>
            <family val="2"/>
          </rPr>
          <t xml:space="preserve">
It is necessary to subtract out mail that is INT old COA.</t>
        </r>
      </text>
    </comment>
    <comment ref="B48" authorId="0">
      <text>
        <r>
          <rPr>
            <b/>
            <sz val="8"/>
            <rFont val="Tahoma"/>
            <family val="2"/>
          </rPr>
          <t>stcutting:</t>
        </r>
        <r>
          <rPr>
            <sz val="8"/>
            <rFont val="Tahoma"/>
            <family val="2"/>
          </rPr>
          <t xml:space="preserve">
It is necessary to subtract out CIF RTS.</t>
        </r>
      </text>
    </comment>
  </commentList>
</comments>
</file>

<file path=xl/comments8.xml><?xml version="1.0" encoding="utf-8"?>
<comments xmlns="http://schemas.openxmlformats.org/spreadsheetml/2006/main">
  <authors>
    <author>stcutting</author>
  </authors>
  <commentList>
    <comment ref="B7" authorId="0">
      <text>
        <r>
          <rPr>
            <b/>
            <sz val="8"/>
            <rFont val="Tahoma"/>
            <family val="2"/>
          </rPr>
          <t>stcutting:</t>
        </r>
        <r>
          <rPr>
            <sz val="8"/>
            <rFont val="Tahoma"/>
            <family val="2"/>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<sst xmlns="http://schemas.openxmlformats.org/spreadsheetml/2006/main" count="3280" uniqueCount="824">
  <si>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</si>
  <si>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</si>
  <si>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</si>
  <si>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</si>
  <si>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</si>
  <si>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</si>
  <si>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</si>
  <si>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</si>
  <si>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</si>
  <si>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</si>
  <si>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</si>
  <si>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</si>
  <si>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</si>
  <si>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</si>
  <si>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</si>
  <si>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</si>
  <si>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</si>
  <si>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</si>
  <si>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</si>
  <si>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</si>
  <si>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</si>
  <si>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</si>
  <si>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</si>
  <si>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</si>
  <si>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</si>
  <si>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</si>
  <si>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</si>
  <si>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</si>
  <si>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</si>
  <si>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</si>
  <si>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</si>
  <si>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</si>
  <si>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</si>
  <si>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</si>
  <si>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</si>
  <si>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</si>
  <si>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</si>
  <si>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</si>
  <si>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</si>
  <si>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val="single"/>
        <sz val="10"/>
        <rFont val="Arial"/>
        <family val="2"/>
      </rPr>
      <t>(000s) (2)</t>
    </r>
  </si>
  <si>
    <r>
      <t xml:space="preserve">Non-ACS Keying Cost
</t>
    </r>
    <r>
      <rPr>
        <u val="single"/>
        <sz val="10"/>
        <rFont val="Arial"/>
        <family val="2"/>
      </rPr>
      <t>(000s)</t>
    </r>
  </si>
  <si>
    <r>
      <t xml:space="preserve">ACS Keying Cost
</t>
    </r>
    <r>
      <rPr>
        <u val="single"/>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</si>
  <si>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</si>
  <si>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</si>
  <si>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</si>
  <si>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</si>
  <si>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</si>
  <si>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</si>
  <si>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</si>
  <si>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</si>
  <si>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</si>
  <si>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</si>
  <si>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</si>
  <si>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</si>
  <si>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</si>
  <si>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</si>
  <si>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</si>
  <si>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</si>
  <si>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</si>
  <si>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</si>
  <si>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</si>
  <si>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</si>
  <si>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</si>
  <si>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</si>
  <si>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</si>
  <si>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</si>
  <si>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</si>
  <si>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</si>
  <si>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</si>
  <si>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</si>
  <si>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</si>
  <si>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</si>
  <si>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</si>
  <si>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</si>
  <si>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</si>
  <si>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</si>
  <si>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</si>
  <si>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</si>
  <si>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</si>
  <si>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</si>
  <si>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</si>
  <si>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</si>
  <si>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</si>
  <si>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</si>
  <si>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</si>
  <si>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</si>
  <si>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</si>
  <si>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</si>
  <si>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</si>
  <si>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</si>
  <si>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</si>
  <si>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</si>
  <si>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</si>
  <si>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</si>
  <si>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</si>
  <si>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</si>
  <si>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</si>
  <si>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</si>
  <si>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</si>
  <si>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</si>
  <si>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</si>
  <si>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</si>
  <si>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</si>
  <si>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</si>
  <si>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</si>
  <si>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val="single"/>
        <sz val="10"/>
        <rFont val="Arial"/>
        <family val="2"/>
      </rPr>
      <t>Contribution</t>
    </r>
  </si>
  <si>
    <t>n/a</t>
  </si>
  <si>
    <t>HWY Contract</t>
  </si>
  <si>
    <t>ACS Nixie Processing</t>
  </si>
  <si>
    <r>
      <t>Volume</t>
    </r>
    <r>
      <rPr>
        <u val="single"/>
        <sz val="10"/>
        <rFont val="Arial"/>
        <family val="2"/>
      </rPr>
      <t xml:space="preserve"> (000s)</t>
    </r>
  </si>
  <si>
    <r>
      <t xml:space="preserve">Total Cost </t>
    </r>
    <r>
      <rPr>
        <u val="single"/>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</si>
  <si>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</si>
  <si>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</si>
  <si>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</si>
  <si>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</si>
  <si>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</si>
  <si>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</si>
  <si>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</si>
  <si>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</si>
  <si>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</si>
  <si>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</si>
  <si>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</si>
  <si>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</si>
  <si>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</si>
  <si>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</si>
  <si>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</si>
  <si>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</si>
  <si>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</si>
  <si>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</si>
  <si>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</si>
  <si>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</si>
  <si>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</si>
  <si>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</si>
  <si>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val="single"/>
        <sz val="10"/>
        <rFont val="Arial"/>
        <family val="2"/>
      </rPr>
      <t>Cost/Piece</t>
    </r>
  </si>
  <si>
    <r>
      <t>Total</t>
    </r>
    <r>
      <rPr>
        <u val="single"/>
        <sz val="10"/>
        <rFont val="Arial"/>
        <family val="2"/>
      </rPr>
      <t xml:space="preserve"> Cost/Piece</t>
    </r>
  </si>
  <si>
    <t>City Carriers</t>
  </si>
  <si>
    <t>Rural Carriers</t>
  </si>
  <si>
    <t>PO Boxes</t>
  </si>
  <si>
    <t>Delivery Unit</t>
  </si>
  <si>
    <t>Weight</t>
  </si>
  <si>
    <r>
      <t xml:space="preserve">Actual Cost </t>
    </r>
    <r>
      <rPr>
        <u val="single"/>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</si>
  <si>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</si>
  <si>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</si>
  <si>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</si>
  <si>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</si>
  <si>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</si>
  <si>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</si>
  <si>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</si>
  <si>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</si>
  <si>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</si>
  <si>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</si>
  <si>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</si>
  <si>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</si>
  <si>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</si>
  <si>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</si>
  <si>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</si>
  <si>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</si>
  <si>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</si>
  <si>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val="single"/>
        <sz val="10"/>
        <rFont val="Arial"/>
        <family val="2"/>
      </rPr>
      <t>Cost/Piece</t>
    </r>
  </si>
  <si>
    <t>Leave Notice</t>
  </si>
  <si>
    <t>Attempt Delivery</t>
  </si>
  <si>
    <t>Collect PD</t>
  </si>
  <si>
    <t>Process Refused Mail</t>
  </si>
  <si>
    <t>Total Cost/Piece for Postage Due Forwarded Mail</t>
  </si>
  <si>
    <r>
      <t xml:space="preserve">Labor </t>
    </r>
    <r>
      <rPr>
        <u val="single"/>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</si>
  <si>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</si>
  <si>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</si>
  <si>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</si>
  <si>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</si>
  <si>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</si>
  <si>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</si>
  <si>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</si>
  <si>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</si>
  <si>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</si>
  <si>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</si>
  <si>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</si>
  <si>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</si>
  <si>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</si>
  <si>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</si>
  <si>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</si>
  <si>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</si>
  <si>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</si>
  <si>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</si>
  <si>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val="single"/>
        <sz val="10"/>
        <rFont val="Arial"/>
        <family val="2"/>
      </rPr>
      <t>Cost</t>
    </r>
  </si>
  <si>
    <t>Window Service</t>
  </si>
  <si>
    <t>Transportation Cost</t>
  </si>
  <si>
    <t>No Record Mail</t>
  </si>
  <si>
    <t>Unendorsed Bulk Business Mail (UBBM)</t>
  </si>
  <si>
    <t>check ---&gt;</t>
  </si>
  <si>
    <r>
      <t xml:space="preserve">Pieces/ </t>
    </r>
    <r>
      <rPr>
        <u val="single"/>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</si>
  <si>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</si>
  <si>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</si>
  <si>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</si>
  <si>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</si>
  <si>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</si>
  <si>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</si>
  <si>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</si>
  <si>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</si>
  <si>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</si>
  <si>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</si>
  <si>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</si>
  <si>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</si>
  <si>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</si>
  <si>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</si>
  <si>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</si>
  <si>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</si>
  <si>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</si>
  <si>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</si>
  <si>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val="single"/>
        <sz val="10"/>
        <rFont val="Arial"/>
        <family val="2"/>
      </rPr>
      <t>Per Step</t>
    </r>
  </si>
  <si>
    <r>
      <t xml:space="preserve">Cost Per </t>
    </r>
    <r>
      <rPr>
        <u val="single"/>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</si>
  <si>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</si>
  <si>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</si>
  <si>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</si>
  <si>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</si>
  <si>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</si>
  <si>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</si>
  <si>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val="single"/>
        <sz val="10"/>
        <rFont val="Arial"/>
        <family val="2"/>
      </rPr>
      <t>(000s)</t>
    </r>
  </si>
  <si>
    <r>
      <t xml:space="preserve">Overall Cost
</t>
    </r>
    <r>
      <rPr>
        <u val="single"/>
        <sz val="10"/>
        <rFont val="Arial"/>
        <family val="2"/>
      </rPr>
      <t>(000s)</t>
    </r>
  </si>
  <si>
    <r>
      <t xml:space="preserve">Total Cost
</t>
    </r>
    <r>
      <rPr>
        <u val="single"/>
        <sz val="10"/>
        <rFont val="Arial"/>
        <family val="2"/>
      </rPr>
      <t>(000s)</t>
    </r>
  </si>
  <si>
    <t>Delivery Unit Costs at Route</t>
  </si>
  <si>
    <t>All Pieces</t>
  </si>
  <si>
    <r>
      <t xml:space="preserve">Weighted Cost </t>
    </r>
    <r>
      <rPr>
        <u val="single"/>
        <sz val="10"/>
        <rFont val="Arial"/>
        <family val="2"/>
      </rPr>
      <t>Per Piece</t>
    </r>
  </si>
  <si>
    <r>
      <t xml:space="preserve">Volume
</t>
    </r>
    <r>
      <rPr>
        <u val="single"/>
        <sz val="10"/>
        <rFont val="Arial"/>
        <family val="2"/>
      </rPr>
      <t>(000s)</t>
    </r>
  </si>
  <si>
    <r>
      <t xml:space="preserve">Total Hours </t>
    </r>
    <r>
      <rPr>
        <u val="single"/>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</si>
  <si>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</si>
  <si>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</si>
  <si>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</si>
  <si>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</si>
  <si>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</si>
  <si>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</si>
  <si>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</si>
  <si>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</si>
  <si>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</si>
  <si>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</si>
  <si>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</si>
  <si>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</si>
  <si>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</si>
  <si>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</si>
  <si>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</si>
  <si>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</si>
  <si>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</si>
  <si>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</si>
  <si>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</si>
  <si>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</si>
  <si>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</si>
  <si>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val="single"/>
        <sz val="7.5"/>
        <rFont val="Arial"/>
        <family val="2"/>
      </rPr>
      <t xml:space="preserve"> </t>
    </r>
    <r>
      <rPr>
        <u val="single"/>
        <sz val="10"/>
        <rFont val="Arial"/>
        <family val="2"/>
      </rPr>
      <t>Factor (1)</t>
    </r>
  </si>
  <si>
    <r>
      <t xml:space="preserve">Piggyback </t>
    </r>
    <r>
      <rPr>
        <u val="single"/>
        <sz val="10"/>
        <rFont val="Arial"/>
        <family val="2"/>
      </rPr>
      <t>Factor (2)</t>
    </r>
  </si>
  <si>
    <t xml:space="preserve"> </t>
  </si>
  <si>
    <r>
      <t xml:space="preserve">Total Hours </t>
    </r>
    <r>
      <rPr>
        <u val="single"/>
        <sz val="10"/>
        <rFont val="Arial"/>
        <family val="2"/>
      </rPr>
      <t>(000s) (1)</t>
    </r>
  </si>
  <si>
    <r>
      <t xml:space="preserve">Overall Cost
</t>
    </r>
    <r>
      <rPr>
        <u val="single"/>
        <sz val="10"/>
        <rFont val="Arial"/>
        <family val="2"/>
      </rPr>
      <t>(000s) (1)</t>
    </r>
  </si>
  <si>
    <r>
      <t xml:space="preserve">Volume
</t>
    </r>
    <r>
      <rPr>
        <u val="single"/>
        <sz val="10"/>
        <rFont val="Arial"/>
        <family val="2"/>
      </rPr>
      <t>(000s) (1)</t>
    </r>
  </si>
  <si>
    <r>
      <t xml:space="preserve">Piggyback </t>
    </r>
    <r>
      <rPr>
        <u val="single"/>
        <sz val="10"/>
        <rFont val="Arial"/>
        <family val="2"/>
      </rPr>
      <t>Factor (1)</t>
    </r>
  </si>
  <si>
    <t>Volume (000s) (1)</t>
  </si>
  <si>
    <t>Originating Delivery Unit</t>
  </si>
  <si>
    <t>Destinating Delivery Unit</t>
  </si>
  <si>
    <t>Mail Processing &amp; Transportation</t>
  </si>
  <si>
    <t>Piggyback (2)</t>
  </si>
  <si>
    <r>
      <t xml:space="preserve">Error </t>
    </r>
    <r>
      <rPr>
        <u val="single"/>
        <sz val="10"/>
        <rFont val="Arial"/>
        <family val="2"/>
      </rPr>
      <t>Rate (3)</t>
    </r>
  </si>
  <si>
    <r>
      <t>Volume</t>
    </r>
    <r>
      <rPr>
        <u val="single"/>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</si>
  <si>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</si>
  <si>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</si>
  <si>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</si>
  <si>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</si>
  <si>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</si>
  <si>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</si>
  <si>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</si>
  <si>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</si>
  <si>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</si>
  <si>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</si>
  <si>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</si>
  <si>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</si>
  <si>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val="single"/>
        <sz val="10"/>
        <rFont val="Arial"/>
        <family val="2"/>
      </rPr>
      <t>Hour</t>
    </r>
  </si>
  <si>
    <r>
      <t>Marg. Pieces/</t>
    </r>
    <r>
      <rPr>
        <u val="single"/>
        <sz val="10"/>
        <rFont val="Arial"/>
        <family val="2"/>
      </rPr>
      <t>Hour</t>
    </r>
  </si>
  <si>
    <r>
      <t xml:space="preserve">Variability </t>
    </r>
    <r>
      <rPr>
        <u val="single"/>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</si>
  <si>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</si>
  <si>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</si>
  <si>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</si>
  <si>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</si>
  <si>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</si>
  <si>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</si>
  <si>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</si>
  <si>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</si>
  <si>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</si>
  <si>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</si>
  <si>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</si>
  <si>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</si>
  <si>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</si>
  <si>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</si>
  <si>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</si>
  <si>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</si>
  <si>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</si>
  <si>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</si>
  <si>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</si>
  <si>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</si>
  <si>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</si>
  <si>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</si>
  <si>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</si>
  <si>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</si>
  <si>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</si>
  <si>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</si>
  <si>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</si>
  <si>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</si>
  <si>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</si>
  <si>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</si>
  <si>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</si>
  <si>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</si>
  <si>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</si>
  <si>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</si>
  <si>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</si>
  <si>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</si>
  <si>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</si>
  <si>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</si>
  <si>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</si>
  <si>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</si>
  <si>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</si>
  <si>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</si>
  <si>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</si>
  <si>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</si>
  <si>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</si>
  <si>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</si>
  <si>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</si>
  <si>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</si>
  <si>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</si>
  <si>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</si>
  <si>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</si>
  <si>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</si>
  <si>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</si>
  <si>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</si>
  <si>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</si>
  <si>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</si>
  <si>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</si>
  <si>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</si>
  <si>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</si>
  <si>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</si>
  <si>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</si>
  <si>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</si>
  <si>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</si>
  <si>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</si>
  <si>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val="single"/>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</si>
  <si>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</si>
  <si>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</si>
  <si>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</si>
  <si>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</si>
  <si>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</si>
  <si>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</si>
  <si>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</si>
  <si>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</si>
  <si>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</si>
  <si>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</si>
  <si>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</si>
  <si>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</si>
  <si>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</si>
  <si>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</si>
  <si>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</si>
  <si>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</si>
  <si>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</si>
  <si>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</si>
  <si>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</si>
  <si>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</si>
  <si>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</si>
  <si>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</si>
  <si>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</si>
  <si>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</si>
  <si>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</si>
  <si>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</si>
  <si>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</si>
  <si>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</si>
  <si>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</si>
  <si>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</si>
  <si>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</si>
  <si>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val="single"/>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</si>
  <si>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</si>
  <si>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</si>
  <si>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</si>
  <si>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</si>
  <si>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</si>
  <si>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</si>
  <si>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</si>
  <si>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</si>
  <si>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</si>
  <si>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</si>
  <si>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</si>
  <si>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</si>
  <si>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</si>
  <si>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</si>
  <si>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</si>
  <si>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</si>
  <si>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</si>
  <si>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</si>
  <si>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</si>
  <si>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</si>
  <si>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</si>
  <si>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</si>
  <si>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</si>
  <si>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</si>
  <si>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</si>
  <si>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</si>
  <si>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</si>
  <si>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</si>
  <si>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</si>
  <si>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</si>
  <si>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</si>
  <si>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val="single"/>
        <sz val="10"/>
        <rFont val="Arial"/>
        <family val="2"/>
      </rPr>
      <t>(000s) (2)</t>
    </r>
  </si>
  <si>
    <r>
      <t xml:space="preserve">Overall Cost
</t>
    </r>
    <r>
      <rPr>
        <u val="single"/>
        <sz val="10"/>
        <rFont val="Arial"/>
        <family val="2"/>
      </rPr>
      <t>(000s) (2)</t>
    </r>
  </si>
  <si>
    <r>
      <t xml:space="preserve">Piggyback </t>
    </r>
    <r>
      <rPr>
        <u val="single"/>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</si>
  <si>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</si>
  <si>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</si>
  <si>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</si>
  <si>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</si>
  <si>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</si>
  <si>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</si>
  <si>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</si>
  <si>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</si>
  <si>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</si>
  <si>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</si>
  <si>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val="single"/>
        <sz val="10"/>
        <rFont val="Arial"/>
        <family val="2"/>
      </rPr>
      <t>(000s)</t>
    </r>
  </si>
  <si>
    <r>
      <t xml:space="preserve">REC Volume
</t>
    </r>
    <r>
      <rPr>
        <u val="single"/>
        <sz val="10"/>
        <rFont val="Arial"/>
        <family val="2"/>
      </rPr>
      <t>(000s)</t>
    </r>
  </si>
  <si>
    <r>
      <t xml:space="preserve">AFR Final Volume
</t>
    </r>
    <r>
      <rPr>
        <u val="single"/>
        <sz val="10"/>
        <rFont val="Arial"/>
        <family val="2"/>
      </rPr>
      <t>(000s)</t>
    </r>
  </si>
  <si>
    <t>COA Cards</t>
  </si>
  <si>
    <t>Total Mail</t>
  </si>
  <si>
    <r>
      <t xml:space="preserve">Input Volume
</t>
    </r>
    <r>
      <rPr>
        <u val="single"/>
        <sz val="10"/>
        <rFont val="Arial"/>
        <family val="2"/>
      </rPr>
      <t>(000s) (1)</t>
    </r>
  </si>
  <si>
    <r>
      <t xml:space="preserve">AFR Finalization </t>
    </r>
    <r>
      <rPr>
        <u val="single"/>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</si>
  <si>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</si>
  <si>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</si>
  <si>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</si>
  <si>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</si>
  <si>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</si>
  <si>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</si>
  <si>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</si>
  <si>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</si>
  <si>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</si>
  <si>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</si>
  <si>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val="single"/>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</si>
  <si>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</si>
  <si>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</si>
  <si>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</si>
  <si>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</si>
  <si>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</si>
  <si>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</si>
  <si>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</si>
  <si>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</si>
  <si>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</si>
  <si>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</si>
  <si>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</si>
  <si>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</si>
  <si>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</si>
  <si>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</si>
  <si>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</si>
  <si>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</si>
  <si>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</si>
  <si>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</si>
  <si>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</si>
  <si>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</si>
  <si>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</si>
  <si>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</si>
  <si>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</si>
  <si>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</si>
  <si>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val="single"/>
        <sz val="10"/>
        <rFont val="Arial"/>
        <family val="2"/>
      </rPr>
      <t>Envelope</t>
    </r>
  </si>
  <si>
    <r>
      <t>Total Mailstream Processing</t>
    </r>
    <r>
      <rPr>
        <u val="single"/>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</si>
  <si>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</si>
  <si>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</si>
  <si>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</si>
  <si>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</si>
  <si>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</si>
  <si>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</si>
  <si>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</si>
  <si>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</si>
  <si>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</si>
  <si>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</si>
  <si>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</si>
  <si>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</si>
  <si>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</si>
  <si>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</si>
  <si>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</si>
  <si>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</si>
  <si>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</si>
  <si>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</si>
  <si>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</si>
  <si>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val="single"/>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</si>
  <si>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</si>
  <si>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</si>
  <si>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</si>
  <si>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</si>
  <si>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</si>
  <si>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</si>
  <si>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</si>
  <si>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</si>
  <si>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</si>
  <si>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</si>
  <si>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</si>
  <si>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</si>
  <si>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</si>
  <si>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</si>
  <si>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</si>
  <si>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</si>
  <si>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</si>
  <si>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</si>
  <si>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</si>
  <si>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</si>
  <si>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</si>
  <si>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</si>
  <si>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</si>
  <si>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</si>
  <si>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</si>
  <si>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</si>
  <si>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</si>
  <si>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</si>
  <si>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</si>
  <si>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</si>
  <si>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</si>
  <si>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</si>
  <si>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</si>
  <si>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</si>
  <si>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</si>
  <si>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val="single"/>
        <sz val="10"/>
        <rFont val="Arial"/>
        <family val="2"/>
      </rPr>
      <t>Pieces (000)</t>
    </r>
  </si>
  <si>
    <r>
      <t xml:space="preserve">Non-PARS </t>
    </r>
    <r>
      <rPr>
        <u val="single"/>
        <sz val="10"/>
        <rFont val="Arial"/>
        <family val="2"/>
      </rPr>
      <t>Pieces (000)</t>
    </r>
  </si>
  <si>
    <r>
      <t xml:space="preserve">Total </t>
    </r>
    <r>
      <rPr>
        <u val="single"/>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</si>
  <si>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</si>
  <si>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</si>
  <si>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</si>
  <si>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</si>
  <si>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</si>
  <si>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</si>
  <si>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</si>
  <si>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</si>
  <si>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</si>
  <si>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</si>
  <si>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</si>
  <si>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</si>
  <si>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</si>
  <si>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</si>
  <si>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</si>
  <si>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</si>
  <si>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</si>
  <si>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</si>
  <si>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</si>
  <si>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</si>
  <si>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</si>
  <si>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</si>
  <si>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</si>
  <si>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</si>
  <si>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</si>
  <si>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</si>
  <si>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</si>
  <si>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</si>
  <si>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</si>
  <si>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</si>
  <si>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</si>
  <si>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</si>
  <si>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</si>
  <si>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</si>
  <si>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</si>
  <si>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</si>
  <si>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</si>
  <si>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</si>
  <si>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</si>
  <si>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</si>
  <si>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</si>
  <si>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</si>
  <si>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</si>
  <si>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</si>
  <si>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</si>
  <si>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</si>
  <si>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</si>
  <si>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</si>
  <si>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</si>
  <si>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</si>
  <si>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</si>
  <si>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</si>
  <si>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</si>
  <si>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</si>
  <si>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</si>
  <si>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</si>
  <si>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</si>
  <si>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</si>
  <si>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</si>
  <si>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</si>
  <si>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</si>
  <si>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</si>
  <si>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</si>
  <si>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</si>
  <si>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</si>
  <si>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</si>
  <si>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</si>
  <si>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</si>
  <si>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</si>
  <si>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</si>
  <si>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</si>
  <si>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</si>
  <si>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</si>
  <si>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</si>
  <si>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</si>
  <si>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</si>
  <si>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</si>
  <si>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</si>
  <si>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</si>
  <si>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</si>
  <si>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</si>
  <si>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</si>
  <si>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</si>
  <si>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</si>
  <si>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</si>
  <si>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</si>
  <si>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</si>
  <si>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</si>
  <si>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</si>
  <si>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</si>
  <si>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</si>
  <si>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</si>
  <si>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</si>
  <si>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</si>
  <si>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</si>
  <si>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</si>
  <si>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</si>
  <si>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</si>
  <si>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</si>
  <si>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</si>
  <si>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</si>
  <si>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</si>
  <si>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</si>
  <si>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</si>
  <si>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</si>
  <si>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</si>
  <si>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</si>
  <si>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</si>
  <si>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</si>
  <si>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</si>
  <si>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</si>
  <si>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</si>
  <si>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</si>
  <si>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</si>
  <si>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</si>
  <si>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</si>
  <si>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</si>
  <si>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</si>
  <si>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</si>
  <si>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</si>
  <si>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</si>
  <si>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</si>
  <si>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</si>
  <si>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</si>
  <si>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</si>
  <si>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</si>
  <si>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</si>
  <si>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</si>
  <si>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</si>
  <si>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</si>
  <si>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</si>
  <si>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</si>
  <si>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</si>
  <si>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</si>
  <si>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</si>
  <si>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</si>
  <si>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</si>
  <si>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</si>
  <si>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</si>
  <si>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</si>
  <si>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</si>
  <si>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</si>
  <si>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</si>
  <si>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</si>
  <si>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</si>
  <si>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</si>
  <si>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</si>
  <si>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</si>
  <si>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</si>
  <si>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</si>
  <si>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</si>
  <si>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</si>
  <si>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</si>
  <si>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</si>
  <si>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</si>
  <si>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</si>
  <si>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</si>
  <si>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</si>
  <si>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val="single"/>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</si>
  <si>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</si>
  <si>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</si>
  <si>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</si>
  <si>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</si>
  <si>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</si>
  <si>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</si>
  <si>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</si>
  <si>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</si>
  <si>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</si>
  <si>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</si>
  <si>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</si>
  <si>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</si>
  <si>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</si>
  <si>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</si>
  <si>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</si>
  <si>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</si>
  <si>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</si>
  <si>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</si>
  <si>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</si>
  <si>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</si>
  <si>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</si>
  <si>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</si>
  <si>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</si>
  <si>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</si>
  <si>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</si>
  <si>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</si>
  <si>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</si>
  <si>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</si>
  <si>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</si>
  <si>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</si>
  <si>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</si>
  <si>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</si>
  <si>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</si>
  <si>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</si>
  <si>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</si>
  <si>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</si>
  <si>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</si>
  <si>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</si>
  <si>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</si>
  <si>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</si>
  <si>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</si>
  <si>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</si>
  <si>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</si>
  <si>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</si>
  <si>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</si>
  <si>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</si>
  <si>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</si>
  <si>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</si>
  <si>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</si>
  <si>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</si>
  <si>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</si>
  <si>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</si>
  <si>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</si>
  <si>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</si>
  <si>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</si>
  <si>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</si>
  <si>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</si>
  <si>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</si>
  <si>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</si>
  <si>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</si>
  <si>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</si>
  <si>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</si>
  <si>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</si>
  <si>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</si>
  <si>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</si>
  <si>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</si>
  <si>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</si>
  <si>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</si>
  <si>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</si>
  <si>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val="single"/>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</si>
  <si>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</si>
  <si>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</si>
  <si>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</si>
  <si>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</si>
  <si>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</si>
  <si>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</si>
  <si>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</si>
  <si>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</si>
  <si>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</si>
  <si>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</si>
  <si>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</si>
  <si>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</si>
  <si>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</si>
  <si>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</si>
  <si>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</si>
  <si>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</si>
  <si>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</si>
  <si>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</si>
  <si>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</si>
  <si>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</si>
  <si>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</si>
  <si>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</si>
  <si>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</si>
  <si>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</si>
  <si>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</si>
  <si>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</si>
  <si>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</si>
  <si>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</si>
  <si>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</si>
  <si>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</si>
  <si>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</si>
  <si>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</si>
  <si>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</si>
  <si>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</si>
  <si>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</si>
  <si>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</si>
  <si>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</si>
  <si>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</si>
  <si>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</si>
  <si>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</si>
  <si>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</si>
  <si>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20</t>
  </si>
  <si>
    <t>(1) Based on FY 20 piggyback factors.</t>
  </si>
  <si>
    <t>(7) Refer to PARS 20 Baseline Cost Model, CFS Module.</t>
  </si>
  <si>
    <t>(8) Refer to PARS 20 Baseline Cost Model, Nixie Module.</t>
  </si>
  <si>
    <t>(4) Refer to PARS 20 Baseline Cost Model, Postage Due Module.</t>
  </si>
  <si>
    <t>(3) Refer to PARS 20 Baseline Cost Model, Postage Due Module.</t>
  </si>
  <si>
    <t>(5) Refer to PARS 20 Baseline Cost Model, CFS Module.</t>
  </si>
  <si>
    <t>(7) Refer to PARS 20 Baseline Cost Model, Nixie Module.</t>
  </si>
  <si>
    <t>(2) Based on FY 20 piggyback factors.</t>
  </si>
  <si>
    <t>(1) Refer to PARS 20 Baseline Cost Model, Route Module.</t>
  </si>
  <si>
    <t>(3) Based on FCS database 04 adjusted for PARS environment and FY 20 growth.  Refer to PARS 20 Baseline Cost Model, Route Module.</t>
  </si>
  <si>
    <t>(3) Refer to PARS 20 Baseline Cost Model, Route Module and CFS Module.</t>
  </si>
  <si>
    <t>(4) Refer to PARS 20 Baseline Cost Model, Mail Processing and Transportation Module.</t>
  </si>
  <si>
    <t>(1) Refer to PARS 20 Baseline Cost Model, Nixie Module.</t>
  </si>
  <si>
    <t>(3) Includes keying, loading, &amp; sweeping.  Refer to PARS 20 Baseline Cost Model, CFS Module.</t>
  </si>
  <si>
    <t>(1) Refer to PARS 20 Baseline Cost Model, CFS Module.</t>
  </si>
  <si>
    <t>(1) Refer to PARS 20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</si>
  <si>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</si>
  <si>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</si>
  <si>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</si>
  <si>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</si>
  <si>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20 piggyback factors.</t>
  </si>
  <si>
    <t>(2) Refer to PARS 20 Baseline Cost Model, CIOSS Module.</t>
  </si>
  <si>
    <t>(2) Refer to PARS 20 Baseline Cost Model, REC Module.</t>
  </si>
  <si>
    <t>(1) Refer to PARS 20 Baseline Cost Model, REC Module.  CIOSS rejects excluded.</t>
  </si>
  <si>
    <t>(3) Based on CRA FY 20 C/S 14 First-Class Mail transportation (all shapes), USPS-LR-L-7.</t>
  </si>
  <si>
    <t>(1) Refer to PARS 20 Baseline Cost Model, Mail Processing and Transportation Module.  Savings associated with the obsolete automation portion of the RTS program are realized in the CIOSS and REC Modules.</t>
  </si>
  <si>
    <t>(1) Refer to PARS 20 Baseline Cost Model, Postage Due Module.</t>
  </si>
  <si>
    <t>(1) Refer to PARS 20 Baseline Cost Model, CIOSS Module.</t>
  </si>
  <si>
    <t>(2) Refer to PARS 20 Baseline Cost Model, Postage Due Module.</t>
  </si>
  <si>
    <t>(7) Based on FY 20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</si>
  <si>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</si>
  <si>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</si>
  <si>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</si>
  <si>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20 Baseline Cost Model, Route Module.</t>
  </si>
  <si>
    <t>(4)  Refer to PARS 20 Baseline Cost Model, Mail Processing and Transportation Module.</t>
  </si>
  <si>
    <t>FY  20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</si>
</sst>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0.000000"/>
    <numFmt numFmtId="184" formatCode="&quot;$&quot;#,##0.0"/>
    <numFmt numFmtId="185" formatCode="&quot;$&quot;#,##0.0000000"/>
    <numFmt numFmtId="186" formatCode="0.000%"/>
    <numFmt numFmtId="187" formatCode="0.0000%"/>
    <numFmt numFmtId="188" formatCode="0.00000%"/>
    <numFmt numFmtId="189" formatCode="0.000000%"/>
  </numFmts>
  <fonts count="49">
    <font>
      <sz val="10"/>
      <name val="Arial"/>
      <family val="0"/>
    </font>
    <font>
      <u val="single"/>
      <sz val="10"/>
      <name val="Arial"/>
      <family val="2"/>
    </font>
    <font>
      <b/>
      <sz val="10"/>
      <name val="Arial"/>
      <family val="2"/>
    </font>
    <font>
      <sz val="8"/>
      <name val="Arial"/>
      <family val="2"/>
    </font>
    <font>
      <sz val="12"/>
      <name val="Helv"/>
      <family val="0"/>
    </font>
    <font>
      <u val="single"/>
      <sz val="10"/>
      <color indexed="36"/>
      <name val="Arial"/>
      <family val="2"/>
    </font>
    <font>
      <u val="single"/>
      <sz val="10"/>
      <color indexed="12"/>
      <name val="Arial"/>
      <family val="2"/>
    </font>
    <font>
      <sz val="10"/>
      <color indexed="12"/>
      <name val="Arial"/>
      <family val="2"/>
    </font>
    <font>
      <u val="single"/>
      <sz val="7.5"/>
      <name val="Arial"/>
      <family val="2"/>
    </font>
    <font>
      <b/>
      <u val="single"/>
      <sz val="10"/>
      <name val="Arial"/>
      <family val="2"/>
    </font>
    <font>
      <b/>
      <sz val="12"/>
      <name val="Arial"/>
      <family val="2"/>
    </font>
    <font>
      <b/>
      <sz val="14"/>
      <name val="Arial"/>
      <family val="2"/>
    </font>
    <font>
      <sz val="8"/>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 fillId="0" borderId="1" applyBorder="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180"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1" borderId="0" applyNumberFormat="0" applyBorder="0" applyAlignment="0" applyProtection="0"/>
    <xf numFmtId="178"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15">
    <xf numFmtId="0" fontId="0" fillId="0" borderId="0" xfId="0" applyAlignment="1">
      <alignment/>
    </xf>
    <xf numFmtId="0" fontId="0" fillId="0" borderId="0" xfId="0" applyFont="1" applyBorder="1" applyAlignment="1">
      <alignment horizontal="centerContinuous"/>
    </xf>
    <xf numFmtId="0" fontId="0" fillId="0" borderId="0" xfId="0" applyFont="1" applyBorder="1" applyAlignment="1">
      <alignment horizontal="left"/>
    </xf>
    <xf numFmtId="164" fontId="0"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xf>
    <xf numFmtId="3" fontId="0" fillId="0" borderId="0" xfId="0" applyNumberFormat="1" applyAlignment="1">
      <alignment/>
    </xf>
    <xf numFmtId="3" fontId="0" fillId="0" borderId="0" xfId="0" applyNumberFormat="1" applyFont="1" applyBorder="1" applyAlignment="1">
      <alignment wrapText="1"/>
    </xf>
    <xf numFmtId="164" fontId="1" fillId="0" borderId="0" xfId="0" applyNumberFormat="1" applyFont="1" applyBorder="1" applyAlignment="1">
      <alignment horizontal="center" wrapText="1"/>
    </xf>
    <xf numFmtId="164" fontId="0" fillId="0" borderId="0" xfId="0" applyNumberFormat="1" applyFont="1" applyBorder="1" applyAlignment="1" quotePrefix="1">
      <alignment horizontal="center" wrapText="1"/>
    </xf>
    <xf numFmtId="3" fontId="0" fillId="0" borderId="1" xfId="0" applyNumberFormat="1" applyBorder="1" applyAlignment="1">
      <alignment/>
    </xf>
    <xf numFmtId="0" fontId="0"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alignment horizontal="right"/>
    </xf>
    <xf numFmtId="0" fontId="2" fillId="0" borderId="0" xfId="0" applyFont="1" applyAlignment="1" quotePrefix="1">
      <alignment horizontal="left"/>
    </xf>
    <xf numFmtId="0" fontId="2" fillId="0" borderId="0" xfId="0" applyFont="1" applyAlignment="1">
      <alignment/>
    </xf>
    <xf numFmtId="0" fontId="2" fillId="0" borderId="0" xfId="0" applyFont="1" applyAlignment="1">
      <alignment horizontal="centerContinuous"/>
    </xf>
    <xf numFmtId="0" fontId="0" fillId="0" borderId="0" xfId="0" applyBorder="1" applyAlignment="1">
      <alignment/>
    </xf>
    <xf numFmtId="0" fontId="2"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Alignment="1">
      <alignment horizontal="left" indent="1"/>
    </xf>
    <xf numFmtId="171" fontId="0" fillId="0" borderId="0" xfId="0" applyNumberFormat="1" applyAlignment="1">
      <alignmen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2" fontId="0" fillId="0" borderId="0" xfId="0" applyNumberFormat="1" applyBorder="1" applyAlignment="1">
      <alignment horizontal="right"/>
    </xf>
    <xf numFmtId="0" fontId="0" fillId="0" borderId="0" xfId="0" applyFill="1" applyAlignment="1">
      <alignment/>
    </xf>
    <xf numFmtId="0" fontId="0" fillId="0" borderId="0" xfId="0" applyAlignment="1" quotePrefix="1">
      <alignment horizontal="left" indent="1"/>
    </xf>
    <xf numFmtId="10" fontId="0" fillId="0" borderId="0" xfId="0" applyNumberFormat="1" applyAlignment="1">
      <alignment/>
    </xf>
    <xf numFmtId="3" fontId="0" fillId="0" borderId="1"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xf>
    <xf numFmtId="172" fontId="0" fillId="0" borderId="0" xfId="0" applyNumberFormat="1" applyFill="1" applyAlignment="1">
      <alignment/>
    </xf>
    <xf numFmtId="0" fontId="2" fillId="0" borderId="0" xfId="0" applyFont="1" applyAlignment="1">
      <alignment horizontal="center"/>
    </xf>
    <xf numFmtId="164" fontId="0" fillId="0" borderId="0" xfId="0" applyNumberFormat="1" applyFill="1" applyAlignment="1">
      <alignment/>
    </xf>
    <xf numFmtId="0" fontId="0" fillId="0" borderId="0" xfId="0" applyFont="1" applyAlignment="1">
      <alignment horizontal="centerContinuous"/>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left" wrapText="1"/>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left"/>
    </xf>
    <xf numFmtId="2" fontId="0" fillId="0" borderId="0" xfId="0" applyNumberFormat="1" applyFont="1" applyBorder="1" applyAlignment="1">
      <alignment/>
    </xf>
    <xf numFmtId="0" fontId="0" fillId="0" borderId="0" xfId="0" applyFont="1" applyAlignment="1">
      <alignment horizontal="center"/>
    </xf>
    <xf numFmtId="165" fontId="0" fillId="0" borderId="0" xfId="0" applyNumberFormat="1" applyFont="1" applyAlignment="1">
      <alignment/>
    </xf>
    <xf numFmtId="3" fontId="0" fillId="0" borderId="0" xfId="0" applyNumberFormat="1" applyFont="1" applyAlignment="1">
      <alignment/>
    </xf>
    <xf numFmtId="175" fontId="0" fillId="0" borderId="0" xfId="0" applyNumberFormat="1" applyFont="1" applyFill="1" applyBorder="1" applyAlignment="1">
      <alignment horizontal="right" wrapText="1"/>
    </xf>
    <xf numFmtId="175" fontId="0" fillId="0" borderId="0" xfId="0" applyNumberFormat="1" applyFont="1" applyFill="1" applyBorder="1" applyAlignment="1">
      <alignment horizontal="right"/>
    </xf>
    <xf numFmtId="168" fontId="0" fillId="0" borderId="0" xfId="0" applyNumberFormat="1" applyFont="1" applyBorder="1" applyAlignment="1">
      <alignment horizontal="right" wrapText="1"/>
    </xf>
    <xf numFmtId="168" fontId="0" fillId="0" borderId="0" xfId="0" applyNumberFormat="1" applyFont="1" applyBorder="1" applyAlignment="1">
      <alignment horizontal="right"/>
    </xf>
    <xf numFmtId="0" fontId="0" fillId="0" borderId="0" xfId="0" applyFont="1" applyBorder="1" applyAlignment="1">
      <alignment wrapText="1"/>
    </xf>
    <xf numFmtId="168" fontId="0" fillId="0" borderId="0" xfId="0" applyNumberFormat="1" applyFont="1" applyAlignment="1">
      <alignment horizontal="centerContinuous"/>
    </xf>
    <xf numFmtId="172" fontId="0" fillId="0" borderId="0" xfId="0" applyNumberFormat="1" applyFont="1" applyAlignment="1">
      <alignment horizontal="centerContinuous"/>
    </xf>
    <xf numFmtId="164" fontId="0" fillId="0" borderId="0" xfId="0" applyNumberFormat="1" applyFont="1" applyAlignment="1">
      <alignment horizontal="centerContinuous"/>
    </xf>
    <xf numFmtId="168"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68" fontId="0" fillId="0" borderId="0" xfId="0" applyNumberFormat="1" applyFont="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horizontal="right"/>
    </xf>
    <xf numFmtId="175" fontId="0" fillId="0" borderId="0" xfId="0" applyNumberFormat="1" applyFont="1" applyBorder="1" applyAlignment="1">
      <alignment horizontal="left" wrapText="1"/>
    </xf>
    <xf numFmtId="168" fontId="7" fillId="0" borderId="0" xfId="0" applyNumberFormat="1" applyFont="1" applyBorder="1" applyAlignment="1">
      <alignment/>
    </xf>
    <xf numFmtId="165" fontId="7" fillId="0" borderId="0" xfId="0" applyNumberFormat="1" applyFont="1" applyBorder="1" applyAlignment="1">
      <alignment/>
    </xf>
    <xf numFmtId="164" fontId="7" fillId="0" borderId="0" xfId="0" applyNumberFormat="1" applyFont="1" applyBorder="1" applyAlignment="1">
      <alignment/>
    </xf>
    <xf numFmtId="175" fontId="0" fillId="0" borderId="0" xfId="0" applyNumberFormat="1" applyFont="1" applyBorder="1" applyAlignment="1">
      <alignment horizontal="right" wrapText="1"/>
    </xf>
    <xf numFmtId="2" fontId="0" fillId="0" borderId="0" xfId="0" applyNumberFormat="1" applyFont="1" applyAlignment="1">
      <alignment horizontal="centerContinuous"/>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xf>
    <xf numFmtId="2" fontId="0" fillId="0" borderId="0" xfId="0" applyNumberFormat="1" applyFont="1" applyAlignment="1">
      <alignment/>
    </xf>
    <xf numFmtId="10" fontId="0" fillId="0" borderId="0" xfId="0" applyNumberFormat="1" applyFont="1" applyFill="1" applyAlignment="1">
      <alignment/>
    </xf>
    <xf numFmtId="175" fontId="0" fillId="0" borderId="0" xfId="0" applyNumberFormat="1"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indent="2"/>
    </xf>
    <xf numFmtId="0" fontId="0" fillId="0" borderId="0" xfId="0" applyFont="1" applyAlignment="1" quotePrefix="1">
      <alignment horizontal="left" indent="2"/>
    </xf>
    <xf numFmtId="171" fontId="0" fillId="0" borderId="0" xfId="0" applyNumberFormat="1" applyFont="1" applyBorder="1" applyAlignment="1">
      <alignment horizontal="right" wrapText="1"/>
    </xf>
    <xf numFmtId="170" fontId="0" fillId="0" borderId="0" xfId="0" applyNumberFormat="1" applyFont="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0" fontId="0" fillId="0" borderId="0" xfId="0" applyNumberFormat="1" applyFont="1" applyFill="1" applyBorder="1" applyAlignment="1" quotePrefix="1">
      <alignment horizontal="center" wrapText="1"/>
    </xf>
    <xf numFmtId="171" fontId="0" fillId="0" borderId="0" xfId="0" applyNumberFormat="1" applyFont="1" applyBorder="1" applyAlignment="1">
      <alignment/>
    </xf>
    <xf numFmtId="0" fontId="0" fillId="0" borderId="0" xfId="0" applyFont="1" applyAlignment="1" quotePrefix="1">
      <alignment horizontal="left" indent="1"/>
    </xf>
    <xf numFmtId="10" fontId="0" fillId="0" borderId="0" xfId="0" applyNumberFormat="1" applyFont="1" applyAlignment="1">
      <alignment/>
    </xf>
    <xf numFmtId="0" fontId="2" fillId="0" borderId="0" xfId="0" applyFont="1" applyBorder="1" applyAlignment="1" quotePrefix="1">
      <alignment horizontal="left"/>
    </xf>
    <xf numFmtId="171" fontId="0" fillId="0" borderId="0" xfId="0" applyNumberFormat="1" applyFont="1" applyAlignment="1">
      <alignment horizontal="right"/>
    </xf>
    <xf numFmtId="2" fontId="0" fillId="0" borderId="0" xfId="0" applyNumberFormat="1" applyFont="1" applyAlignment="1">
      <alignment horizontal="left"/>
    </xf>
    <xf numFmtId="168" fontId="0" fillId="0" borderId="0" xfId="0" applyNumberFormat="1" applyFont="1" applyAlignment="1">
      <alignment horizontal="left"/>
    </xf>
    <xf numFmtId="172" fontId="0" fillId="0" borderId="0" xfId="0" applyNumberFormat="1" applyFont="1" applyAlignment="1">
      <alignment horizontal="left"/>
    </xf>
    <xf numFmtId="164" fontId="0" fillId="0" borderId="0" xfId="0" applyNumberFormat="1" applyFont="1" applyAlignment="1">
      <alignment horizontal="left"/>
    </xf>
    <xf numFmtId="0" fontId="0" fillId="0" borderId="0" xfId="0" applyFont="1" applyBorder="1" applyAlignment="1">
      <alignment horizontal="left" indent="1"/>
    </xf>
    <xf numFmtId="0" fontId="0" fillId="0" borderId="0" xfId="0" applyFont="1" applyBorder="1" applyAlignment="1" quotePrefix="1">
      <alignment horizontal="left" indent="1"/>
    </xf>
    <xf numFmtId="0" fontId="0" fillId="0" borderId="0" xfId="0" applyFont="1" applyBorder="1" applyAlignment="1">
      <alignment horizontal="left" indent="2"/>
    </xf>
    <xf numFmtId="0" fontId="0" fillId="0" borderId="0" xfId="0" applyFont="1" applyBorder="1" applyAlignment="1" quotePrefix="1">
      <alignment horizontal="left" indent="2"/>
    </xf>
    <xf numFmtId="0" fontId="0" fillId="0" borderId="0" xfId="0" applyBorder="1" applyAlignment="1" quotePrefix="1">
      <alignment horizontal="left" wrapText="1" indent="1"/>
    </xf>
    <xf numFmtId="0" fontId="1" fillId="0" borderId="0" xfId="0" applyFont="1" applyBorder="1" applyAlignment="1">
      <alignment/>
    </xf>
    <xf numFmtId="171" fontId="0" fillId="0" borderId="0" xfId="0" applyNumberFormat="1" applyFont="1" applyBorder="1" applyAlignment="1">
      <alignment horizontal="center"/>
    </xf>
    <xf numFmtId="175" fontId="0" fillId="0" borderId="0" xfId="0" applyNumberFormat="1" applyFont="1" applyFill="1" applyBorder="1" applyAlignment="1">
      <alignment horizontal="center" wrapText="1"/>
    </xf>
    <xf numFmtId="3" fontId="0" fillId="0" borderId="0" xfId="0" applyNumberFormat="1" applyAlignment="1">
      <alignment horizontal="right"/>
    </xf>
    <xf numFmtId="0" fontId="9" fillId="0" borderId="0" xfId="0" applyFont="1" applyAlignment="1">
      <alignment horizontal="right"/>
    </xf>
    <xf numFmtId="0" fontId="0" fillId="0" borderId="0" xfId="0" applyAlignment="1">
      <alignment horizontal="centerContinuous"/>
    </xf>
    <xf numFmtId="0" fontId="9" fillId="0" borderId="0" xfId="0" applyFont="1" applyAlignment="1">
      <alignment horizontal="centerContinuous"/>
    </xf>
    <xf numFmtId="10" fontId="0" fillId="0" borderId="0" xfId="0" applyNumberFormat="1" applyFont="1" applyBorder="1" applyAlignment="1">
      <alignment/>
    </xf>
    <xf numFmtId="0" fontId="0" fillId="0" borderId="0" xfId="0" applyBorder="1" applyAlignment="1">
      <alignment horizontal="left" indent="1"/>
    </xf>
    <xf numFmtId="0" fontId="2" fillId="0" borderId="0" xfId="0" applyFont="1" applyAlignment="1">
      <alignment horizontal="left" indent="2"/>
    </xf>
    <xf numFmtId="0" fontId="0" fillId="0" borderId="0" xfId="0" applyBorder="1" applyAlignment="1" quotePrefix="1">
      <alignment horizontal="left" indent="1"/>
    </xf>
    <xf numFmtId="165" fontId="0" fillId="0" borderId="0" xfId="0" applyNumberFormat="1" applyBorder="1" applyAlignment="1">
      <alignment/>
    </xf>
    <xf numFmtId="0" fontId="0" fillId="0" borderId="0" xfId="0" applyBorder="1" applyAlignment="1" quotePrefix="1">
      <alignment horizontal="left" wrapText="1" indent="2"/>
    </xf>
    <xf numFmtId="172" fontId="0" fillId="0" borderId="0" xfId="0" applyNumberFormat="1" applyBorder="1" applyAlignment="1">
      <alignment horizontal="right"/>
    </xf>
    <xf numFmtId="164" fontId="0" fillId="0" borderId="11" xfId="0" applyNumberFormat="1" applyFill="1" applyBorder="1" applyAlignment="1" quotePrefix="1">
      <alignment horizontal="center"/>
    </xf>
    <xf numFmtId="169" fontId="0" fillId="0" borderId="0" xfId="0" applyNumberFormat="1" applyAlignment="1">
      <alignment horizontal="right"/>
    </xf>
    <xf numFmtId="9" fontId="0" fillId="0" borderId="0" xfId="0" applyNumberFormat="1" applyAlignment="1">
      <alignment/>
    </xf>
    <xf numFmtId="172" fontId="0" fillId="0" borderId="0" xfId="0" applyNumberFormat="1" applyFill="1" applyAlignment="1">
      <alignment horizontal="right"/>
    </xf>
    <xf numFmtId="170" fontId="0" fillId="0" borderId="0" xfId="0" applyNumberFormat="1" applyAlignment="1">
      <alignment/>
    </xf>
    <xf numFmtId="171" fontId="0" fillId="0" borderId="0" xfId="0" applyNumberFormat="1" applyAlignment="1">
      <alignment horizontal="right"/>
    </xf>
    <xf numFmtId="0" fontId="0" fillId="33" borderId="0" xfId="0" applyFill="1" applyBorder="1" applyAlignment="1">
      <alignment/>
    </xf>
    <xf numFmtId="0" fontId="0" fillId="33" borderId="0" xfId="0" applyFill="1" applyBorder="1" applyAlignment="1">
      <alignment horizontal="right"/>
    </xf>
    <xf numFmtId="174" fontId="0" fillId="33" borderId="0" xfId="0" applyNumberFormat="1" applyFill="1" applyBorder="1" applyAlignment="1">
      <alignment/>
    </xf>
    <xf numFmtId="0" fontId="0" fillId="0" borderId="0" xfId="0" applyFont="1" applyFill="1" applyBorder="1" applyAlignment="1" quotePrefix="1">
      <alignment horizontal="left"/>
    </xf>
    <xf numFmtId="0" fontId="0" fillId="33" borderId="0" xfId="0" applyFont="1" applyFill="1" applyAlignment="1">
      <alignment/>
    </xf>
    <xf numFmtId="0" fontId="0" fillId="33" borderId="0" xfId="0" applyFont="1" applyFill="1" applyAlignment="1">
      <alignment horizontal="right"/>
    </xf>
    <xf numFmtId="176" fontId="0" fillId="33" borderId="0" xfId="0" applyNumberFormat="1" applyFont="1" applyFill="1" applyAlignment="1">
      <alignment/>
    </xf>
    <xf numFmtId="3" fontId="0" fillId="33" borderId="0" xfId="0" applyNumberFormat="1" applyFont="1" applyFill="1" applyAlignment="1">
      <alignment/>
    </xf>
    <xf numFmtId="164" fontId="0" fillId="33" borderId="0" xfId="0" applyNumberFormat="1" applyFont="1" applyFill="1" applyAlignment="1">
      <alignment/>
    </xf>
    <xf numFmtId="0" fontId="2" fillId="0" borderId="0" xfId="0" applyFont="1" applyBorder="1" applyAlignment="1" quotePrefix="1">
      <alignment horizontal="right"/>
    </xf>
    <xf numFmtId="0" fontId="0" fillId="33" borderId="0" xfId="0" applyFill="1" applyAlignment="1">
      <alignment/>
    </xf>
    <xf numFmtId="176" fontId="0" fillId="33" borderId="0" xfId="0" applyNumberFormat="1" applyFill="1" applyAlignment="1">
      <alignment/>
    </xf>
    <xf numFmtId="176" fontId="0" fillId="0" borderId="0" xfId="0" applyNumberFormat="1" applyFill="1" applyAlignment="1">
      <alignment/>
    </xf>
    <xf numFmtId="3" fontId="0" fillId="0" borderId="0" xfId="0" applyNumberFormat="1" applyFont="1" applyAlignment="1">
      <alignment horizontal="right"/>
    </xf>
    <xf numFmtId="164" fontId="0" fillId="0" borderId="0" xfId="0" applyNumberFormat="1" applyFont="1" applyAlignment="1" quotePrefix="1">
      <alignment horizontal="left"/>
    </xf>
    <xf numFmtId="3" fontId="0" fillId="33" borderId="0" xfId="0" applyNumberFormat="1" applyFill="1" applyAlignment="1">
      <alignment/>
    </xf>
    <xf numFmtId="177" fontId="0" fillId="33" borderId="0" xfId="0" applyNumberFormat="1" applyFont="1" applyFill="1" applyAlignment="1">
      <alignment/>
    </xf>
    <xf numFmtId="176" fontId="0" fillId="33" borderId="0" xfId="0" applyNumberFormat="1" applyFont="1" applyFill="1" applyBorder="1" applyAlignment="1">
      <alignment/>
    </xf>
    <xf numFmtId="0" fontId="0" fillId="0" borderId="0" xfId="0" applyFont="1" applyFill="1" applyAlignment="1">
      <alignment/>
    </xf>
    <xf numFmtId="0" fontId="0" fillId="0" borderId="1" xfId="0" applyFont="1" applyBorder="1" applyAlignment="1">
      <alignment/>
    </xf>
    <xf numFmtId="176" fontId="0" fillId="0" borderId="0" xfId="0" applyNumberFormat="1" applyAlignment="1">
      <alignment horizontal="right"/>
    </xf>
    <xf numFmtId="177" fontId="0" fillId="33" borderId="0" xfId="0" applyNumberFormat="1" applyFill="1" applyAlignment="1">
      <alignment/>
    </xf>
    <xf numFmtId="0" fontId="0" fillId="0" borderId="1" xfId="0" applyFont="1" applyBorder="1" applyAlignment="1" quotePrefix="1">
      <alignment horizontal="left"/>
    </xf>
    <xf numFmtId="0" fontId="0" fillId="0" borderId="0" xfId="0" applyFont="1" applyFill="1" applyAlignment="1" quotePrefix="1">
      <alignment horizontal="left"/>
    </xf>
    <xf numFmtId="165" fontId="0" fillId="0" borderId="0" xfId="0" applyNumberFormat="1" applyFont="1" applyBorder="1" applyAlignment="1" quotePrefix="1">
      <alignment horizontal="right" wrapText="1"/>
    </xf>
    <xf numFmtId="165" fontId="0" fillId="0" borderId="0" xfId="0" applyNumberFormat="1" applyBorder="1" applyAlignment="1">
      <alignment horizontal="righ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0" fillId="0" borderId="0" xfId="0" applyFill="1" applyBorder="1" applyAlignment="1">
      <alignment/>
    </xf>
    <xf numFmtId="164" fontId="0" fillId="0" borderId="15" xfId="0" applyNumberFormat="1" applyFont="1" applyBorder="1" applyAlignment="1">
      <alignment horizontal="center"/>
    </xf>
    <xf numFmtId="171" fontId="0" fillId="0" borderId="11" xfId="0" applyNumberFormat="1" applyFill="1" applyBorder="1" applyAlignment="1">
      <alignment/>
    </xf>
    <xf numFmtId="171" fontId="0" fillId="0" borderId="11" xfId="0" applyNumberFormat="1" applyFont="1" applyFill="1" applyBorder="1" applyAlignment="1">
      <alignment/>
    </xf>
    <xf numFmtId="164" fontId="0" fillId="0" borderId="16" xfId="0" applyNumberFormat="1" applyFont="1" applyBorder="1" applyAlignment="1">
      <alignment horizontal="center"/>
    </xf>
    <xf numFmtId="0" fontId="0" fillId="0" borderId="1" xfId="0" applyFont="1" applyBorder="1" applyAlignment="1">
      <alignment horizontal="center"/>
    </xf>
    <xf numFmtId="0" fontId="10" fillId="0" borderId="0" xfId="0" applyFont="1" applyBorder="1" applyAlignment="1" quotePrefix="1">
      <alignment horizontal="left"/>
    </xf>
    <xf numFmtId="0" fontId="10" fillId="0" borderId="0" xfId="0" applyFont="1" applyAlignment="1" quotePrefix="1">
      <alignment horizontal="left"/>
    </xf>
    <xf numFmtId="0" fontId="0" fillId="0" borderId="0" xfId="0" applyFont="1" applyBorder="1" applyAlignment="1">
      <alignment horizontal="right" wrapText="1"/>
    </xf>
    <xf numFmtId="0" fontId="0" fillId="0" borderId="0" xfId="0" applyFont="1" applyBorder="1" applyAlignment="1" quotePrefix="1">
      <alignment horizontal="right" wrapText="1"/>
    </xf>
    <xf numFmtId="0" fontId="1" fillId="0" borderId="0" xfId="0" applyFont="1" applyBorder="1" applyAlignment="1">
      <alignment horizontal="right" wrapText="1"/>
    </xf>
    <xf numFmtId="173" fontId="0" fillId="0" borderId="0" xfId="0" applyNumberFormat="1" applyFont="1" applyAlignment="1">
      <alignment/>
    </xf>
    <xf numFmtId="10" fontId="0" fillId="0" borderId="0" xfId="65" applyNumberFormat="1" applyFont="1" applyBorder="1" applyAlignment="1">
      <alignment/>
    </xf>
    <xf numFmtId="0" fontId="0" fillId="0" borderId="0" xfId="0" applyAlignment="1">
      <alignment horizontal="left" indent="1"/>
    </xf>
    <xf numFmtId="165" fontId="0" fillId="0" borderId="0" xfId="0" applyNumberFormat="1" applyAlignment="1">
      <alignment/>
    </xf>
    <xf numFmtId="10" fontId="0" fillId="0" borderId="0" xfId="65" applyNumberFormat="1" applyFont="1" applyAlignment="1">
      <alignment/>
    </xf>
    <xf numFmtId="0" fontId="11" fillId="0" borderId="0" xfId="0" applyFont="1" applyAlignment="1">
      <alignment horizontal="centerContinuous"/>
    </xf>
    <xf numFmtId="3" fontId="0" fillId="0" borderId="0" xfId="0" applyNumberFormat="1" applyFont="1" applyBorder="1" applyAlignment="1" quotePrefix="1">
      <alignment horizontal="right" wrapText="1"/>
    </xf>
    <xf numFmtId="164" fontId="1" fillId="0" borderId="0" xfId="0" applyNumberFormat="1" applyFont="1" applyBorder="1" applyAlignment="1" quotePrefix="1">
      <alignment horizontal="right" wrapText="1"/>
    </xf>
    <xf numFmtId="166" fontId="1" fillId="0" borderId="0" xfId="0" applyNumberFormat="1" applyFont="1" applyBorder="1" applyAlignment="1">
      <alignment horizontal="right" wrapText="1"/>
    </xf>
    <xf numFmtId="167" fontId="0" fillId="0" borderId="0" xfId="0" applyNumberFormat="1" applyFont="1" applyBorder="1" applyAlignment="1" quotePrefix="1">
      <alignment horizontal="right" wrapText="1"/>
    </xf>
    <xf numFmtId="171" fontId="0" fillId="0" borderId="1" xfId="0" applyNumberFormat="1" applyFont="1" applyBorder="1" applyAlignment="1">
      <alignment horizontal="right" wrapText="1"/>
    </xf>
    <xf numFmtId="171" fontId="2" fillId="0" borderId="0" xfId="0" applyNumberFormat="1" applyFont="1" applyBorder="1" applyAlignment="1">
      <alignment horizontal="right" wrapText="1"/>
    </xf>
    <xf numFmtId="165" fontId="0" fillId="0" borderId="1" xfId="0" applyNumberFormat="1" applyFont="1" applyBorder="1" applyAlignment="1">
      <alignment horizontal="right" wrapText="1"/>
    </xf>
    <xf numFmtId="165" fontId="0" fillId="0" borderId="0" xfId="0" applyNumberFormat="1" applyAlignment="1">
      <alignment horizontal="right"/>
    </xf>
    <xf numFmtId="164" fontId="0" fillId="0" borderId="0" xfId="0" applyNumberFormat="1" applyFont="1" applyBorder="1" applyAlignment="1" quotePrefix="1">
      <alignment horizontal="right" wrapText="1"/>
    </xf>
    <xf numFmtId="0" fontId="0" fillId="0" borderId="0" xfId="0" applyFont="1" applyAlignment="1" quotePrefix="1">
      <alignment horizontal="right" wrapText="1"/>
    </xf>
    <xf numFmtId="0" fontId="1" fillId="0" borderId="0" xfId="0" applyFont="1" applyAlignment="1">
      <alignment horizontal="right"/>
    </xf>
    <xf numFmtId="175"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9" fontId="0" fillId="0" borderId="0" xfId="0" applyNumberFormat="1" applyFont="1" applyAlignment="1">
      <alignment horizontal="right"/>
    </xf>
    <xf numFmtId="0" fontId="1" fillId="0" borderId="0" xfId="0" applyFont="1" applyBorder="1" applyAlignment="1" quotePrefix="1">
      <alignment horizontal="right" wrapText="1"/>
    </xf>
    <xf numFmtId="3" fontId="0" fillId="0" borderId="0" xfId="0" applyNumberFormat="1" applyFont="1" applyBorder="1" applyAlignment="1">
      <alignment/>
    </xf>
    <xf numFmtId="172" fontId="0" fillId="0" borderId="0" xfId="0" applyNumberFormat="1" applyFont="1" applyBorder="1" applyAlignment="1">
      <alignment wrapText="1"/>
    </xf>
    <xf numFmtId="171" fontId="0" fillId="0" borderId="0" xfId="0" applyNumberFormat="1" applyFont="1" applyBorder="1" applyAlignment="1">
      <alignment wrapText="1"/>
    </xf>
    <xf numFmtId="171" fontId="0" fillId="0" borderId="0" xfId="0" applyNumberFormat="1" applyFont="1" applyBorder="1" applyAlignment="1">
      <alignment/>
    </xf>
    <xf numFmtId="0" fontId="0" fillId="0" borderId="0" xfId="0" applyFont="1" applyBorder="1" applyAlignment="1">
      <alignment/>
    </xf>
    <xf numFmtId="168" fontId="0" fillId="0" borderId="0" xfId="0" applyNumberFormat="1" applyFont="1" applyBorder="1" applyAlignment="1" quotePrefix="1">
      <alignment horizontal="right" wrapText="1"/>
    </xf>
    <xf numFmtId="0" fontId="0" fillId="0" borderId="0" xfId="0" applyFont="1" applyFill="1" applyBorder="1" applyAlignment="1" quotePrefix="1">
      <alignment horizontal="right" wrapText="1"/>
    </xf>
    <xf numFmtId="165" fontId="0" fillId="0" borderId="0" xfId="0" applyNumberFormat="1" applyFont="1" applyBorder="1" applyAlignment="1">
      <alignment/>
    </xf>
    <xf numFmtId="175" fontId="0" fillId="0" borderId="0" xfId="0" applyNumberFormat="1" applyFont="1" applyBorder="1" applyAlignment="1">
      <alignment wrapText="1"/>
    </xf>
    <xf numFmtId="165" fontId="0" fillId="0" borderId="0" xfId="0" applyNumberFormat="1" applyFont="1" applyBorder="1" applyAlignment="1">
      <alignment wrapText="1"/>
    </xf>
    <xf numFmtId="164" fontId="0" fillId="0" borderId="0" xfId="0" applyNumberFormat="1" applyFont="1" applyBorder="1" applyAlignment="1">
      <alignment/>
    </xf>
    <xf numFmtId="175" fontId="0" fillId="0" borderId="0" xfId="0" applyNumberFormat="1" applyFont="1" applyBorder="1" applyAlignment="1">
      <alignment/>
    </xf>
    <xf numFmtId="165" fontId="0" fillId="0" borderId="0" xfId="0" applyNumberFormat="1" applyFont="1" applyAlignment="1">
      <alignment horizontal="right"/>
    </xf>
    <xf numFmtId="3" fontId="0" fillId="0" borderId="0" xfId="0" applyNumberFormat="1" applyFont="1" applyFill="1" applyAlignment="1">
      <alignment horizontal="right"/>
    </xf>
    <xf numFmtId="164" fontId="1" fillId="0" borderId="0" xfId="0" applyNumberFormat="1" applyFont="1" applyBorder="1" applyAlignment="1">
      <alignment horizontal="right" wrapText="1"/>
    </xf>
    <xf numFmtId="10" fontId="0" fillId="0" borderId="0" xfId="0" applyNumberFormat="1" applyFont="1" applyFill="1" applyBorder="1" applyAlignment="1" quotePrefix="1">
      <alignment horizontal="right" wrapText="1"/>
    </xf>
    <xf numFmtId="3" fontId="1" fillId="0" borderId="0" xfId="0" applyNumberFormat="1" applyFont="1" applyAlignment="1">
      <alignment horizontal="right"/>
    </xf>
    <xf numFmtId="171" fontId="1" fillId="0" borderId="0" xfId="0" applyNumberFormat="1" applyFont="1" applyBorder="1" applyAlignment="1">
      <alignment horizontal="right" wrapText="1"/>
    </xf>
    <xf numFmtId="164" fontId="0" fillId="0" borderId="0" xfId="0" applyNumberFormat="1" applyFont="1" applyAlignment="1">
      <alignment horizontal="right"/>
    </xf>
    <xf numFmtId="10" fontId="0" fillId="0" borderId="0" xfId="0" applyNumberFormat="1" applyFont="1" applyFill="1" applyAlignment="1">
      <alignment horizontal="right"/>
    </xf>
    <xf numFmtId="165" fontId="1" fillId="0" borderId="0" xfId="0" applyNumberFormat="1" applyFont="1" applyBorder="1" applyAlignment="1">
      <alignment horizontal="right" wrapText="1"/>
    </xf>
    <xf numFmtId="165" fontId="1" fillId="0" borderId="0" xfId="0" applyNumberFormat="1" applyFont="1" applyBorder="1" applyAlignment="1" quotePrefix="1">
      <alignment horizontal="right" wrapText="1"/>
    </xf>
    <xf numFmtId="2" fontId="0" fillId="0" borderId="0" xfId="0" applyNumberFormat="1" applyAlignment="1">
      <alignment horizontal="right"/>
    </xf>
    <xf numFmtId="175" fontId="0" fillId="0" borderId="0" xfId="65" applyNumberFormat="1" applyFont="1" applyAlignment="1">
      <alignment horizontal="right"/>
    </xf>
    <xf numFmtId="2" fontId="0" fillId="0" borderId="0" xfId="0" applyNumberFormat="1" applyFont="1" applyAlignment="1">
      <alignment horizontal="right"/>
    </xf>
    <xf numFmtId="2" fontId="9" fillId="0" borderId="0" xfId="0" applyNumberFormat="1" applyFont="1" applyAlignment="1">
      <alignment horizontal="right"/>
    </xf>
    <xf numFmtId="174" fontId="0" fillId="0" borderId="0" xfId="0" applyNumberFormat="1" applyFont="1" applyAlignment="1">
      <alignment horizontal="center"/>
    </xf>
    <xf numFmtId="171" fontId="0" fillId="0" borderId="0" xfId="0" applyNumberFormat="1" applyFont="1" applyAlignment="1">
      <alignment/>
    </xf>
    <xf numFmtId="165"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72" fontId="0" fillId="0" borderId="0" xfId="0" applyNumberFormat="1" applyFont="1" applyBorder="1" applyAlignment="1">
      <alignment/>
    </xf>
    <xf numFmtId="168" fontId="0" fillId="0" borderId="0" xfId="0" applyNumberFormat="1" applyFont="1" applyAlignment="1">
      <alignment/>
    </xf>
    <xf numFmtId="3" fontId="0" fillId="0" borderId="0" xfId="0" applyNumberFormat="1" applyBorder="1" applyAlignment="1">
      <alignment horizontal="center"/>
    </xf>
    <xf numFmtId="0" fontId="0" fillId="0" borderId="0" xfId="0" applyBorder="1" applyAlignment="1" quotePrefix="1">
      <alignment horizontal="right" wrapText="1"/>
    </xf>
    <xf numFmtId="0" fontId="0" fillId="0" borderId="0" xfId="0" applyBorder="1" applyAlignment="1">
      <alignment horizontal="right"/>
    </xf>
    <xf numFmtId="0" fontId="0" fillId="0" borderId="0" xfId="0" applyFill="1" applyBorder="1" applyAlignment="1" quotePrefix="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1" fillId="0" borderId="0" xfId="0" applyNumberFormat="1" applyFont="1" applyBorder="1" applyAlignment="1" quotePrefix="1">
      <alignment horizontal="right"/>
    </xf>
    <xf numFmtId="10" fontId="0" fillId="0" borderId="0" xfId="0" applyNumberFormat="1" applyFont="1" applyBorder="1" applyAlignment="1">
      <alignment horizontal="right"/>
    </xf>
    <xf numFmtId="0" fontId="0" fillId="0" borderId="17" xfId="0" applyFont="1" applyBorder="1" applyAlignment="1" quotePrefix="1">
      <alignment horizontal="right"/>
    </xf>
    <xf numFmtId="0" fontId="0" fillId="0" borderId="18" xfId="0" applyFont="1" applyBorder="1" applyAlignment="1">
      <alignment horizontal="right"/>
    </xf>
    <xf numFmtId="0" fontId="0" fillId="0" borderId="19" xfId="0" applyFont="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quotePrefix="1">
      <alignment horizontal="right"/>
    </xf>
    <xf numFmtId="174" fontId="0" fillId="0" borderId="0" xfId="0" applyNumberFormat="1" applyAlignment="1">
      <alignment/>
    </xf>
    <xf numFmtId="2" fontId="0" fillId="0" borderId="0" xfId="0" applyNumberFormat="1" applyFont="1" applyBorder="1" applyAlignment="1">
      <alignment horizontal="center"/>
    </xf>
    <xf numFmtId="2" fontId="1" fillId="0" borderId="0" xfId="0" applyNumberFormat="1" applyFont="1" applyAlignment="1">
      <alignment horizontal="right"/>
    </xf>
    <xf numFmtId="2" fontId="9" fillId="0" borderId="0" xfId="0" applyNumberFormat="1" applyFont="1" applyAlignment="1">
      <alignment horizontal="centerContinuous"/>
    </xf>
    <xf numFmtId="2" fontId="0" fillId="0" borderId="0" xfId="0" applyNumberFormat="1" applyAlignment="1">
      <alignment horizontal="centerContinuous"/>
    </xf>
    <xf numFmtId="0" fontId="0" fillId="0" borderId="0" xfId="0" applyAlignment="1" quotePrefix="1">
      <alignment horizontal="left" indent="2"/>
    </xf>
    <xf numFmtId="177" fontId="0" fillId="0" borderId="0" xfId="0" applyNumberFormat="1" applyFill="1" applyAlignment="1">
      <alignment/>
    </xf>
    <xf numFmtId="0" fontId="0" fillId="0" borderId="0" xfId="0" applyFill="1" applyAlignment="1" quotePrefix="1">
      <alignment horizontal="left"/>
    </xf>
    <xf numFmtId="176" fontId="0" fillId="0" borderId="0" xfId="0" applyNumberFormat="1" applyFont="1" applyAlignment="1">
      <alignment horizontal="right"/>
    </xf>
    <xf numFmtId="164" fontId="0" fillId="0" borderId="0" xfId="0" applyNumberFormat="1" applyFont="1" applyFill="1" applyBorder="1" applyAlignment="1">
      <alignment/>
    </xf>
    <xf numFmtId="10" fontId="0" fillId="0" borderId="0" xfId="0" applyNumberFormat="1" applyFont="1" applyFill="1" applyBorder="1" applyAlignment="1">
      <alignment/>
    </xf>
    <xf numFmtId="171" fontId="0" fillId="0" borderId="0" xfId="0" applyNumberFormat="1" applyFont="1" applyFill="1" applyBorder="1" applyAlignment="1">
      <alignment horizontal="center"/>
    </xf>
    <xf numFmtId="0" fontId="0" fillId="0" borderId="20" xfId="0" applyBorder="1" applyAlignment="1">
      <alignment horizontal="center"/>
    </xf>
    <xf numFmtId="0" fontId="0" fillId="0" borderId="18" xfId="0" applyBorder="1" applyAlignment="1">
      <alignment/>
    </xf>
    <xf numFmtId="0" fontId="0" fillId="0" borderId="21" xfId="0" applyBorder="1" applyAlignment="1">
      <alignment horizontal="center"/>
    </xf>
    <xf numFmtId="0" fontId="0" fillId="0" borderId="17" xfId="0" applyBorder="1" applyAlignment="1">
      <alignment horizontal="center"/>
    </xf>
    <xf numFmtId="0" fontId="2" fillId="0" borderId="15" xfId="0" applyFont="1" applyFill="1" applyBorder="1" applyAlignment="1">
      <alignment/>
    </xf>
    <xf numFmtId="164" fontId="2" fillId="0" borderId="11" xfId="0" applyNumberFormat="1"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xf>
    <xf numFmtId="164" fontId="0" fillId="0" borderId="11" xfId="0" applyNumberFormat="1" applyFill="1" applyBorder="1" applyAlignment="1">
      <alignment/>
    </xf>
    <xf numFmtId="164" fontId="0" fillId="0" borderId="11" xfId="0" applyNumberFormat="1" applyFill="1" applyBorder="1" applyAlignment="1">
      <alignment horizontal="center"/>
    </xf>
    <xf numFmtId="0" fontId="0" fillId="0" borderId="22" xfId="0" applyFill="1" applyBorder="1" applyAlignment="1">
      <alignment/>
    </xf>
    <xf numFmtId="0" fontId="0" fillId="0" borderId="11" xfId="0" applyFill="1" applyBorder="1" applyAlignment="1">
      <alignment/>
    </xf>
    <xf numFmtId="0" fontId="2" fillId="0" borderId="21" xfId="0" applyFont="1" applyFill="1" applyBorder="1" applyAlignment="1">
      <alignment/>
    </xf>
    <xf numFmtId="9" fontId="0" fillId="0" borderId="11" xfId="0" applyNumberFormat="1" applyFill="1" applyBorder="1" applyAlignment="1">
      <alignment horizontal="center"/>
    </xf>
    <xf numFmtId="171" fontId="0" fillId="0" borderId="22" xfId="0" applyNumberFormat="1" applyFill="1" applyBorder="1" applyAlignment="1">
      <alignment/>
    </xf>
    <xf numFmtId="0" fontId="0" fillId="0" borderId="11" xfId="0" applyFont="1" applyFill="1" applyBorder="1" applyAlignment="1">
      <alignment/>
    </xf>
    <xf numFmtId="172" fontId="0" fillId="0" borderId="22" xfId="0" applyNumberFormat="1" applyFill="1" applyBorder="1" applyAlignment="1">
      <alignment/>
    </xf>
    <xf numFmtId="10" fontId="0" fillId="0" borderId="11" xfId="0" applyNumberFormat="1" applyFill="1" applyBorder="1" applyAlignment="1">
      <alignment horizontal="center"/>
    </xf>
    <xf numFmtId="171" fontId="0" fillId="0" borderId="22" xfId="0" applyNumberFormat="1" applyFont="1" applyFill="1" applyBorder="1" applyAlignment="1">
      <alignment/>
    </xf>
    <xf numFmtId="0" fontId="2" fillId="0" borderId="16" xfId="0" applyFont="1" applyFill="1" applyBorder="1" applyAlignment="1">
      <alignment/>
    </xf>
    <xf numFmtId="171" fontId="0" fillId="0" borderId="16" xfId="0" applyNumberFormat="1" applyFill="1" applyBorder="1" applyAlignment="1">
      <alignment/>
    </xf>
    <xf numFmtId="164" fontId="0" fillId="0" borderId="16" xfId="0" applyNumberFormat="1" applyFill="1" applyBorder="1" applyAlignment="1">
      <alignment horizontal="center"/>
    </xf>
    <xf numFmtId="171" fontId="2" fillId="0" borderId="16" xfId="0" applyNumberFormat="1" applyFon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171" fontId="0" fillId="0" borderId="15" xfId="0" applyNumberFormat="1" applyFill="1" applyBorder="1" applyAlignment="1">
      <alignment/>
    </xf>
    <xf numFmtId="9" fontId="0" fillId="0" borderId="11" xfId="0" applyNumberFormat="1" applyFill="1" applyBorder="1" applyAlignment="1">
      <alignment/>
    </xf>
    <xf numFmtId="0" fontId="0" fillId="0" borderId="16" xfId="0" applyFill="1" applyBorder="1" applyAlignment="1">
      <alignment/>
    </xf>
    <xf numFmtId="9" fontId="0" fillId="0" borderId="16" xfId="0" applyNumberFormat="1" applyFill="1" applyBorder="1" applyAlignment="1">
      <alignment/>
    </xf>
    <xf numFmtId="171" fontId="0" fillId="0" borderId="0" xfId="0" applyNumberFormat="1" applyFill="1" applyBorder="1" applyAlignment="1">
      <alignment/>
    </xf>
    <xf numFmtId="9" fontId="0" fillId="0" borderId="0" xfId="0" applyNumberFormat="1" applyFill="1" applyBorder="1" applyAlignment="1">
      <alignment/>
    </xf>
    <xf numFmtId="9" fontId="0" fillId="0" borderId="15" xfId="0" applyNumberFormat="1" applyFont="1" applyFill="1" applyBorder="1" applyAlignment="1">
      <alignment horizontal="center"/>
    </xf>
    <xf numFmtId="171" fontId="0" fillId="0" borderId="15" xfId="0" applyNumberFormat="1" applyFont="1" applyFill="1" applyBorder="1" applyAlignment="1" quotePrefix="1">
      <alignment horizontal="right"/>
    </xf>
    <xf numFmtId="9" fontId="0" fillId="0" borderId="16" xfId="0" applyNumberFormat="1" applyFont="1" applyFill="1" applyBorder="1" applyAlignment="1">
      <alignment horizontal="center"/>
    </xf>
    <xf numFmtId="2" fontId="0" fillId="0" borderId="11" xfId="0" applyNumberFormat="1" applyFill="1" applyBorder="1" applyAlignment="1">
      <alignment/>
    </xf>
    <xf numFmtId="10" fontId="0" fillId="0" borderId="16" xfId="0" applyNumberFormat="1" applyFill="1" applyBorder="1" applyAlignment="1">
      <alignment/>
    </xf>
    <xf numFmtId="3" fontId="0" fillId="0" borderId="1" xfId="0" applyNumberFormat="1" applyFont="1" applyBorder="1" applyAlignment="1">
      <alignment/>
    </xf>
    <xf numFmtId="0" fontId="0" fillId="0" borderId="1" xfId="0" applyBorder="1" applyAlignment="1">
      <alignment/>
    </xf>
    <xf numFmtId="0" fontId="0" fillId="0" borderId="0" xfId="0" applyFill="1" applyAlignment="1">
      <alignment horizontal="left"/>
    </xf>
    <xf numFmtId="3" fontId="0" fillId="0" borderId="0" xfId="0" applyNumberFormat="1" applyFont="1" applyBorder="1" applyAlignment="1" quotePrefix="1">
      <alignment horizontal="left"/>
    </xf>
    <xf numFmtId="171" fontId="0" fillId="0" borderId="0" xfId="0" applyNumberFormat="1" applyFont="1" applyBorder="1" applyAlignment="1" quotePrefix="1">
      <alignment horizontal="left"/>
    </xf>
    <xf numFmtId="0" fontId="1" fillId="0" borderId="0" xfId="0" applyFont="1" applyAlignment="1" quotePrefix="1">
      <alignment horizontal="right"/>
    </xf>
    <xf numFmtId="10" fontId="0" fillId="0" borderId="0" xfId="0" applyNumberFormat="1" applyFont="1" applyAlignment="1" quotePrefix="1">
      <alignment horizontal="left"/>
    </xf>
    <xf numFmtId="164" fontId="0" fillId="0" borderId="1" xfId="0" applyNumberFormat="1" applyFont="1" applyBorder="1" applyAlignment="1">
      <alignment horizontal="right"/>
    </xf>
    <xf numFmtId="168" fontId="0" fillId="0" borderId="1" xfId="0" applyNumberFormat="1" applyFont="1" applyBorder="1" applyAlignment="1">
      <alignment/>
    </xf>
    <xf numFmtId="165" fontId="0" fillId="0" borderId="1" xfId="0" applyNumberFormat="1" applyFont="1" applyBorder="1" applyAlignment="1">
      <alignment/>
    </xf>
    <xf numFmtId="3" fontId="0" fillId="0" borderId="0" xfId="0" applyNumberFormat="1" applyAlignment="1" quotePrefix="1">
      <alignment horizontal="left"/>
    </xf>
    <xf numFmtId="164" fontId="0" fillId="0" borderId="1" xfId="0" applyNumberFormat="1" applyFont="1" applyBorder="1" applyAlignment="1">
      <alignment/>
    </xf>
    <xf numFmtId="2" fontId="0" fillId="0" borderId="0" xfId="0" applyNumberFormat="1" applyAlignment="1" quotePrefix="1">
      <alignment horizontal="left"/>
    </xf>
    <xf numFmtId="168" fontId="0" fillId="0" borderId="1" xfId="0" applyNumberFormat="1" applyFont="1" applyFill="1" applyBorder="1" applyAlignment="1" quotePrefix="1">
      <alignment horizontal="right"/>
    </xf>
    <xf numFmtId="176" fontId="0" fillId="0" borderId="1" xfId="0" applyNumberFormat="1"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3" fontId="0" fillId="0" borderId="0" xfId="0" applyNumberFormat="1" applyBorder="1" applyAlignment="1" quotePrefix="1">
      <alignment horizontal="left"/>
    </xf>
    <xf numFmtId="172" fontId="0" fillId="0" borderId="0" xfId="0" applyNumberFormat="1" applyBorder="1" applyAlignment="1" quotePrefix="1">
      <alignment horizontal="left"/>
    </xf>
    <xf numFmtId="0" fontId="1" fillId="0" borderId="0" xfId="0" applyFont="1" applyBorder="1" applyAlignment="1" quotePrefix="1">
      <alignment horizontal="right"/>
    </xf>
    <xf numFmtId="0" fontId="0" fillId="0" borderId="1" xfId="0" applyFont="1" applyFill="1" applyBorder="1" applyAlignment="1">
      <alignment/>
    </xf>
    <xf numFmtId="2" fontId="0" fillId="0" borderId="0" xfId="0" applyNumberFormat="1" applyFont="1" applyBorder="1" applyAlignment="1" quotePrefix="1">
      <alignment horizontal="left"/>
    </xf>
    <xf numFmtId="3" fontId="0" fillId="0" borderId="0" xfId="0" applyNumberFormat="1" applyFont="1" applyAlignment="1" quotePrefix="1">
      <alignment horizontal="left"/>
    </xf>
    <xf numFmtId="10" fontId="0" fillId="0" borderId="0" xfId="65" applyNumberFormat="1" applyFont="1" applyBorder="1" applyAlignment="1" quotePrefix="1">
      <alignment horizontal="left"/>
    </xf>
    <xf numFmtId="171" fontId="0" fillId="0" borderId="0" xfId="0" applyNumberFormat="1" applyAlignment="1" quotePrefix="1">
      <alignment horizontal="left"/>
    </xf>
    <xf numFmtId="0" fontId="10" fillId="0" borderId="0" xfId="0" applyFont="1" applyBorder="1" applyAlignment="1" quotePrefix="1">
      <alignment horizontal="left" indent="8"/>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164" fontId="2" fillId="0" borderId="22" xfId="0" applyNumberFormat="1" applyFon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ill="1" applyBorder="1" applyAlignment="1" quotePrefix="1">
      <alignment horizontal="center"/>
    </xf>
    <xf numFmtId="9" fontId="0" fillId="0" borderId="22" xfId="0" applyNumberFormat="1" applyFill="1" applyBorder="1" applyAlignment="1">
      <alignment horizontal="center"/>
    </xf>
    <xf numFmtId="10" fontId="0" fillId="0" borderId="22" xfId="0" applyNumberFormat="1" applyFill="1" applyBorder="1" applyAlignment="1">
      <alignment horizontal="center"/>
    </xf>
    <xf numFmtId="171" fontId="0" fillId="0" borderId="11" xfId="0" applyNumberFormat="1" applyFill="1" applyBorder="1" applyAlignment="1" quotePrefix="1">
      <alignment horizontal="left"/>
    </xf>
    <xf numFmtId="9" fontId="0" fillId="0" borderId="22" xfId="0" applyNumberFormat="1" applyFill="1" applyBorder="1" applyAlignment="1" quotePrefix="1">
      <alignment horizontal="left"/>
    </xf>
    <xf numFmtId="0" fontId="0" fillId="0" borderId="1" xfId="0" applyFill="1" applyBorder="1" applyAlignment="1">
      <alignment/>
    </xf>
    <xf numFmtId="164" fontId="0" fillId="0" borderId="1" xfId="0" applyNumberFormat="1" applyFill="1" applyBorder="1" applyAlignment="1">
      <alignment/>
    </xf>
    <xf numFmtId="0" fontId="0" fillId="0" borderId="1" xfId="0" applyFont="1" applyBorder="1" applyAlignment="1" quotePrefix="1">
      <alignment horizontal="right"/>
    </xf>
    <xf numFmtId="0" fontId="2" fillId="0" borderId="0" xfId="0" applyFont="1" applyAlignment="1">
      <alignment/>
    </xf>
    <xf numFmtId="0" fontId="0" fillId="0" borderId="11" xfId="0" applyFill="1" applyBorder="1" applyAlignment="1" quotePrefix="1">
      <alignment horizontal="left"/>
    </xf>
    <xf numFmtId="0" fontId="0" fillId="0" borderId="15" xfId="0" applyFill="1" applyBorder="1" applyAlignment="1" quotePrefix="1">
      <alignment horizontal="left"/>
    </xf>
    <xf numFmtId="0" fontId="2" fillId="0" borderId="0" xfId="0" applyFont="1" applyAlignment="1" quotePrefix="1">
      <alignment horizontal="right" vertical="center"/>
    </xf>
    <xf numFmtId="3" fontId="0" fillId="0" borderId="0" xfId="0" applyNumberFormat="1" applyBorder="1" applyAlignment="1">
      <alignment/>
    </xf>
    <xf numFmtId="0" fontId="0" fillId="0" borderId="1" xfId="0" applyBorder="1" applyAlignment="1" quotePrefix="1">
      <alignment horizontal="left"/>
    </xf>
    <xf numFmtId="165" fontId="0" fillId="0" borderId="1" xfId="0" applyNumberFormat="1" applyBorder="1" applyAlignment="1">
      <alignment/>
    </xf>
    <xf numFmtId="0" fontId="0" fillId="0" borderId="0" xfId="0" applyBorder="1" applyAlignment="1" quotePrefix="1">
      <alignment horizontal="left"/>
    </xf>
    <xf numFmtId="177" fontId="0" fillId="0" borderId="0" xfId="0" applyNumberFormat="1" applyAlignment="1">
      <alignment/>
    </xf>
    <xf numFmtId="180" fontId="0" fillId="33" borderId="22" xfId="0" applyNumberFormat="1" applyFill="1" applyBorder="1" applyAlignment="1">
      <alignment/>
    </xf>
    <xf numFmtId="180" fontId="0" fillId="33" borderId="19" xfId="0" applyNumberFormat="1" applyFill="1" applyBorder="1" applyAlignment="1">
      <alignment/>
    </xf>
    <xf numFmtId="0" fontId="2" fillId="0" borderId="0" xfId="0" applyFont="1" applyFill="1" applyBorder="1" applyAlignment="1">
      <alignment horizontal="right"/>
    </xf>
    <xf numFmtId="0" fontId="2" fillId="0" borderId="0" xfId="0" applyFont="1" applyAlignment="1">
      <alignment horizontal="right"/>
    </xf>
    <xf numFmtId="0" fontId="2" fillId="0" borderId="0" xfId="0" applyFont="1" applyFill="1" applyAlignment="1" quotePrefix="1">
      <alignment horizontal="left"/>
    </xf>
    <xf numFmtId="0" fontId="0" fillId="0" borderId="0" xfId="0" applyFont="1" applyBorder="1" applyAlignment="1" quotePrefix="1">
      <alignment horizontal="right"/>
    </xf>
    <xf numFmtId="4" fontId="0" fillId="0" borderId="0" xfId="65" applyNumberFormat="1" applyFont="1" applyBorder="1" applyAlignment="1" quotePrefix="1">
      <alignment/>
    </xf>
    <xf numFmtId="10" fontId="0" fillId="0" borderId="0" xfId="0" applyNumberFormat="1" applyFill="1" applyAlignment="1">
      <alignment/>
    </xf>
    <xf numFmtId="0" fontId="0" fillId="0" borderId="0" xfId="0" applyFont="1" applyAlignment="1">
      <alignment horizontal="left" indent="5"/>
    </xf>
    <xf numFmtId="0" fontId="0" fillId="0" borderId="0" xfId="0" applyFont="1" applyAlignment="1" quotePrefix="1">
      <alignment horizontal="left" indent="5"/>
    </xf>
    <xf numFmtId="168" fontId="0" fillId="33" borderId="0" xfId="0" applyNumberFormat="1" applyFont="1" applyFill="1" applyAlignment="1">
      <alignment/>
    </xf>
    <xf numFmtId="175" fontId="0" fillId="0" borderId="0" xfId="0" applyNumberFormat="1" applyFill="1" applyAlignment="1">
      <alignment/>
    </xf>
    <xf numFmtId="0" fontId="0" fillId="0" borderId="0" xfId="0" applyFill="1" applyBorder="1" applyAlignment="1">
      <alignment horizontal="left" indent="3"/>
    </xf>
    <xf numFmtId="0" fontId="0" fillId="0" borderId="0" xfId="0" applyFont="1" applyFill="1" applyAlignment="1">
      <alignment horizontal="right"/>
    </xf>
    <xf numFmtId="0" fontId="0" fillId="0" borderId="0" xfId="0" applyFont="1" applyAlignment="1" quotePrefix="1">
      <alignment horizontal="left" indent="4"/>
    </xf>
    <xf numFmtId="0" fontId="0" fillId="0" borderId="0" xfId="0" applyFont="1" applyAlignment="1">
      <alignment horizontal="left" indent="4"/>
    </xf>
    <xf numFmtId="14" fontId="0" fillId="0" borderId="0" xfId="0" applyNumberFormat="1" applyFill="1" applyAlignment="1">
      <alignment/>
    </xf>
    <xf numFmtId="177" fontId="0" fillId="33" borderId="0" xfId="0" applyNumberFormat="1" applyFont="1" applyFill="1" applyAlignment="1" quotePrefix="1">
      <alignment horizontal="right"/>
    </xf>
    <xf numFmtId="0" fontId="0" fillId="0" borderId="0" xfId="0" applyFont="1" applyFill="1" applyAlignment="1" quotePrefix="1">
      <alignment horizontal="right"/>
    </xf>
    <xf numFmtId="164" fontId="0" fillId="0" borderId="0" xfId="0" applyNumberFormat="1" applyFont="1" applyFill="1" applyAlignment="1">
      <alignment/>
    </xf>
    <xf numFmtId="176" fontId="0" fillId="0" borderId="0" xfId="0" applyNumberFormat="1" applyFont="1" applyFill="1" applyAlignment="1">
      <alignment/>
    </xf>
    <xf numFmtId="177" fontId="0" fillId="0" borderId="0" xfId="0" applyNumberFormat="1" applyFont="1" applyFill="1" applyAlignment="1" quotePrefix="1">
      <alignment horizontal="right"/>
    </xf>
    <xf numFmtId="177" fontId="0" fillId="0" borderId="1" xfId="0" applyNumberFormat="1" applyFont="1" applyFill="1" applyBorder="1" applyAlignment="1" quotePrefix="1">
      <alignment horizontal="right"/>
    </xf>
    <xf numFmtId="177" fontId="0" fillId="0" borderId="0" xfId="0" applyNumberFormat="1" applyFont="1" applyFill="1" applyAlignment="1">
      <alignment/>
    </xf>
    <xf numFmtId="0" fontId="0" fillId="0" borderId="0" xfId="0" applyAlignment="1">
      <alignment horizontal="left" indent="2"/>
    </xf>
    <xf numFmtId="171" fontId="2" fillId="0" borderId="0" xfId="0" applyNumberFormat="1" applyFont="1" applyAlignment="1">
      <alignment/>
    </xf>
    <xf numFmtId="176" fontId="0" fillId="0" borderId="0" xfId="0" applyNumberFormat="1" applyBorder="1" applyAlignment="1">
      <alignment horizontal="right"/>
    </xf>
    <xf numFmtId="3" fontId="2" fillId="0" borderId="0" xfId="0" applyNumberFormat="1" applyFont="1" applyAlignment="1">
      <alignment/>
    </xf>
    <xf numFmtId="175" fontId="0" fillId="0" borderId="0" xfId="65" applyNumberFormat="1" applyFont="1" applyAlignment="1">
      <alignment/>
    </xf>
    <xf numFmtId="176" fontId="0" fillId="0" borderId="0" xfId="0" applyNumberFormat="1" applyAlignment="1">
      <alignment/>
    </xf>
    <xf numFmtId="165" fontId="0" fillId="0" borderId="0" xfId="0" applyNumberFormat="1" applyFont="1" applyBorder="1" applyAlignment="1">
      <alignment horizontal="left"/>
    </xf>
    <xf numFmtId="0" fontId="0" fillId="0" borderId="20" xfId="0" applyBorder="1" applyAlignment="1" quotePrefix="1">
      <alignment horizontal="right"/>
    </xf>
    <xf numFmtId="0" fontId="0" fillId="0" borderId="23" xfId="0" applyBorder="1" applyAlignment="1">
      <alignment/>
    </xf>
    <xf numFmtId="3" fontId="0" fillId="0" borderId="23" xfId="0" applyNumberFormat="1" applyBorder="1" applyAlignment="1">
      <alignment/>
    </xf>
    <xf numFmtId="0" fontId="0" fillId="0" borderId="21" xfId="0" applyBorder="1" applyAlignment="1">
      <alignment/>
    </xf>
    <xf numFmtId="0" fontId="0" fillId="0" borderId="0" xfId="0" applyBorder="1" applyAlignment="1">
      <alignment horizontal="left"/>
    </xf>
    <xf numFmtId="0" fontId="0" fillId="0" borderId="1" xfId="0" applyBorder="1" applyAlignment="1">
      <alignment horizontal="left"/>
    </xf>
    <xf numFmtId="6" fontId="0" fillId="0" borderId="1" xfId="0" applyNumberFormat="1" applyFill="1" applyBorder="1" applyAlignment="1" quotePrefix="1">
      <alignment horizontal="right"/>
    </xf>
    <xf numFmtId="6" fontId="0" fillId="0" borderId="17" xfId="0" applyNumberFormat="1" applyFill="1" applyBorder="1" applyAlignment="1" quotePrefix="1">
      <alignment horizontal="right"/>
    </xf>
    <xf numFmtId="0" fontId="0" fillId="0" borderId="20" xfId="0" applyBorder="1" applyAlignment="1">
      <alignment/>
    </xf>
    <xf numFmtId="0" fontId="0" fillId="0" borderId="22" xfId="0" applyBorder="1" applyAlignment="1">
      <alignment/>
    </xf>
    <xf numFmtId="0" fontId="0" fillId="0" borderId="19" xfId="0" applyBorder="1" applyAlignment="1">
      <alignment/>
    </xf>
    <xf numFmtId="0" fontId="0" fillId="0" borderId="20" xfId="0" applyBorder="1" applyAlignment="1">
      <alignment horizontal="right"/>
    </xf>
    <xf numFmtId="0" fontId="0" fillId="0" borderId="18" xfId="0" applyBorder="1" applyAlignment="1">
      <alignment horizontal="right"/>
    </xf>
    <xf numFmtId="0" fontId="10" fillId="0" borderId="24" xfId="0" applyFont="1" applyBorder="1" applyAlignment="1" quotePrefix="1">
      <alignment horizontal="left"/>
    </xf>
    <xf numFmtId="0" fontId="2" fillId="0" borderId="25"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quotePrefix="1">
      <alignment horizontal="left"/>
    </xf>
    <xf numFmtId="0" fontId="0" fillId="0" borderId="29" xfId="0" applyBorder="1" applyAlignment="1">
      <alignment/>
    </xf>
    <xf numFmtId="0" fontId="0" fillId="0" borderId="28" xfId="0" applyBorder="1" applyAlignment="1">
      <alignment horizontal="left"/>
    </xf>
    <xf numFmtId="0" fontId="0" fillId="0" borderId="28" xfId="0" applyBorder="1" applyAlignment="1">
      <alignment/>
    </xf>
    <xf numFmtId="0" fontId="0" fillId="0" borderId="28" xfId="0" applyBorder="1" applyAlignment="1" quotePrefix="1">
      <alignment horizontal="left"/>
    </xf>
    <xf numFmtId="0" fontId="0" fillId="0" borderId="29" xfId="0" applyBorder="1" applyAlignment="1" quotePrefix="1">
      <alignment horizontal="left"/>
    </xf>
    <xf numFmtId="0" fontId="0" fillId="0" borderId="30" xfId="0" applyBorder="1" applyAlignment="1">
      <alignment/>
    </xf>
    <xf numFmtId="0" fontId="0" fillId="0" borderId="31" xfId="0" applyBorder="1" applyAlignment="1">
      <alignment/>
    </xf>
    <xf numFmtId="0" fontId="2" fillId="0" borderId="29" xfId="0" applyFont="1" applyBorder="1" applyAlignment="1" quotePrefix="1">
      <alignment horizontal="left"/>
    </xf>
    <xf numFmtId="0" fontId="0" fillId="0" borderId="32" xfId="0" applyBorder="1" applyAlignment="1">
      <alignment/>
    </xf>
    <xf numFmtId="0" fontId="0" fillId="0" borderId="28" xfId="0" applyBorder="1" applyAlignment="1">
      <alignment horizontal="left" indent="4"/>
    </xf>
    <xf numFmtId="0" fontId="0" fillId="0" borderId="29" xfId="0" applyBorder="1" applyAlignment="1">
      <alignment horizontal="left" indent="4"/>
    </xf>
    <xf numFmtId="0" fontId="0" fillId="0" borderId="33" xfId="0" applyBorder="1" applyAlignment="1">
      <alignment/>
    </xf>
    <xf numFmtId="0" fontId="2" fillId="0" borderId="31" xfId="0" applyFont="1" applyBorder="1" applyAlignment="1">
      <alignment horizontal="right"/>
    </xf>
    <xf numFmtId="0" fontId="0" fillId="0" borderId="23" xfId="0" applyBorder="1" applyAlignment="1">
      <alignment horizontal="right"/>
    </xf>
    <xf numFmtId="3" fontId="2" fillId="0" borderId="0" xfId="0" applyNumberFormat="1" applyFont="1" applyBorder="1" applyAlignment="1">
      <alignment/>
    </xf>
    <xf numFmtId="0" fontId="0" fillId="0" borderId="19" xfId="0" applyFill="1" applyBorder="1" applyAlignment="1">
      <alignment horizontal="right"/>
    </xf>
    <xf numFmtId="0" fontId="0" fillId="0" borderId="13" xfId="0" applyBorder="1" applyAlignment="1">
      <alignment horizontal="centerContinuous"/>
    </xf>
    <xf numFmtId="0" fontId="0" fillId="0" borderId="14" xfId="0" applyBorder="1" applyAlignment="1">
      <alignment horizontal="centerContinuous"/>
    </xf>
    <xf numFmtId="0" fontId="0" fillId="0" borderId="34" xfId="0" applyBorder="1" applyAlignment="1">
      <alignment horizontal="centerContinuous"/>
    </xf>
    <xf numFmtId="0" fontId="0" fillId="0" borderId="33" xfId="0" applyBorder="1" applyAlignment="1">
      <alignment horizontal="right"/>
    </xf>
    <xf numFmtId="0" fontId="0" fillId="0" borderId="32" xfId="0" applyFill="1" applyBorder="1" applyAlignment="1">
      <alignment horizontal="right"/>
    </xf>
    <xf numFmtId="171" fontId="2" fillId="0" borderId="35" xfId="0" applyNumberFormat="1" applyFont="1" applyBorder="1" applyAlignment="1">
      <alignment horizontal="right" wrapText="1"/>
    </xf>
    <xf numFmtId="171" fontId="2" fillId="0" borderId="36" xfId="0" applyNumberFormat="1" applyFont="1" applyBorder="1" applyAlignment="1">
      <alignment horizontal="right" wrapText="1"/>
    </xf>
    <xf numFmtId="0" fontId="2" fillId="0" borderId="25" xfId="0" applyFont="1" applyBorder="1" applyAlignment="1">
      <alignment horizontal="right"/>
    </xf>
    <xf numFmtId="165" fontId="0" fillId="0" borderId="20" xfId="0" applyNumberFormat="1" applyBorder="1" applyAlignment="1">
      <alignment/>
    </xf>
    <xf numFmtId="165" fontId="0" fillId="0" borderId="21" xfId="0" applyNumberFormat="1" applyBorder="1" applyAlignment="1">
      <alignment/>
    </xf>
    <xf numFmtId="165" fontId="0" fillId="0" borderId="17" xfId="0" applyNumberFormat="1" applyBorder="1" applyAlignment="1">
      <alignment/>
    </xf>
    <xf numFmtId="0" fontId="0" fillId="0" borderId="37" xfId="0" applyBorder="1" applyAlignment="1">
      <alignment/>
    </xf>
    <xf numFmtId="164" fontId="0" fillId="0" borderId="0" xfId="0" applyNumberFormat="1" applyFont="1" applyBorder="1" applyAlignment="1" quotePrefix="1">
      <alignment horizontal="left"/>
    </xf>
    <xf numFmtId="0" fontId="0" fillId="0" borderId="0" xfId="0" applyFont="1" applyFill="1" applyBorder="1" applyAlignment="1" quotePrefix="1">
      <alignment horizontal="right"/>
    </xf>
    <xf numFmtId="165" fontId="0" fillId="0" borderId="21" xfId="0" applyNumberFormat="1" applyFont="1" applyBorder="1" applyAlignment="1">
      <alignment/>
    </xf>
    <xf numFmtId="3" fontId="0" fillId="0" borderId="38" xfId="0" applyNumberFormat="1" applyFont="1" applyBorder="1" applyAlignment="1">
      <alignment/>
    </xf>
    <xf numFmtId="165" fontId="0" fillId="0" borderId="39" xfId="0" applyNumberFormat="1" applyFont="1" applyBorder="1" applyAlignment="1">
      <alignment/>
    </xf>
    <xf numFmtId="165" fontId="0" fillId="0" borderId="17" xfId="0" applyNumberFormat="1" applyFont="1" applyBorder="1" applyAlignment="1">
      <alignment/>
    </xf>
    <xf numFmtId="171" fontId="2" fillId="0" borderId="0" xfId="0" applyNumberFormat="1" applyFont="1" applyAlignment="1">
      <alignment horizontal="right"/>
    </xf>
    <xf numFmtId="177" fontId="0" fillId="33" borderId="0" xfId="0" applyNumberFormat="1" applyFont="1" applyFill="1" applyAlignment="1">
      <alignment horizontal="right"/>
    </xf>
    <xf numFmtId="0" fontId="0" fillId="0" borderId="11" xfId="0" applyFill="1" applyBorder="1" applyAlignment="1">
      <alignment horizontal="left" indent="3"/>
    </xf>
    <xf numFmtId="0" fontId="0" fillId="0" borderId="21" xfId="0" applyFont="1" applyBorder="1" applyAlignment="1">
      <alignment horizontal="right"/>
    </xf>
    <xf numFmtId="0" fontId="0" fillId="0" borderId="22" xfId="0" applyFont="1" applyBorder="1" applyAlignment="1">
      <alignment horizontal="right"/>
    </xf>
    <xf numFmtId="0" fontId="2" fillId="34" borderId="40" xfId="0" applyFont="1" applyFill="1" applyBorder="1" applyAlignment="1">
      <alignment horizontal="centerContinuous"/>
    </xf>
    <xf numFmtId="0" fontId="2" fillId="34" borderId="41" xfId="0" applyFont="1" applyFill="1" applyBorder="1" applyAlignment="1">
      <alignment horizontal="centerContinuous"/>
    </xf>
    <xf numFmtId="0" fontId="0" fillId="34" borderId="41" xfId="0" applyFill="1" applyBorder="1" applyAlignment="1">
      <alignment horizontal="centerContinuous"/>
    </xf>
    <xf numFmtId="0" fontId="0" fillId="34" borderId="42" xfId="0" applyFill="1" applyBorder="1" applyAlignment="1">
      <alignment horizontal="centerContinuous"/>
    </xf>
    <xf numFmtId="0" fontId="2" fillId="0" borderId="15" xfId="0" applyFont="1" applyFill="1" applyBorder="1" applyAlignment="1" quotePrefix="1">
      <alignment horizontal="left"/>
    </xf>
    <xf numFmtId="0" fontId="2" fillId="0" borderId="11" xfId="0" applyFont="1" applyFill="1" applyBorder="1" applyAlignment="1" quotePrefix="1">
      <alignment horizontal="left"/>
    </xf>
    <xf numFmtId="171" fontId="0" fillId="0" borderId="16" xfId="0" applyNumberFormat="1" applyFont="1" applyFill="1" applyBorder="1" applyAlignment="1" quotePrefix="1">
      <alignment horizontal="right"/>
    </xf>
    <xf numFmtId="0" fontId="0" fillId="0" borderId="28" xfId="0" applyBorder="1" applyAlignment="1" quotePrefix="1">
      <alignment horizontal="left" indent="4"/>
    </xf>
    <xf numFmtId="0" fontId="0" fillId="0" borderId="29" xfId="0" applyBorder="1" applyAlignment="1" quotePrefix="1">
      <alignment horizontal="left" indent="4"/>
    </xf>
    <xf numFmtId="0" fontId="10" fillId="0" borderId="28" xfId="0" applyFont="1" applyBorder="1" applyAlignment="1" quotePrefix="1">
      <alignment horizontal="left"/>
    </xf>
    <xf numFmtId="0" fontId="0" fillId="0" borderId="0" xfId="0" applyFont="1" applyAlignment="1" quotePrefix="1">
      <alignment horizontal="right"/>
    </xf>
    <xf numFmtId="0" fontId="2" fillId="0" borderId="0" xfId="0" applyFont="1" applyBorder="1" applyAlignment="1">
      <alignment/>
    </xf>
    <xf numFmtId="0" fontId="0" fillId="0" borderId="1" xfId="0" applyFill="1" applyBorder="1" applyAlignment="1" quotePrefix="1">
      <alignment horizontal="left"/>
    </xf>
    <xf numFmtId="0" fontId="1" fillId="0" borderId="0" xfId="0" applyFont="1" applyBorder="1" applyAlignment="1">
      <alignment/>
    </xf>
    <xf numFmtId="0" fontId="1" fillId="0" borderId="0" xfId="0" applyFont="1" applyBorder="1" applyAlignment="1" quotePrefix="1">
      <alignment horizontal="left"/>
    </xf>
    <xf numFmtId="0" fontId="0" fillId="0" borderId="0" xfId="0" applyFill="1" applyBorder="1" applyAlignment="1">
      <alignment horizontal="left"/>
    </xf>
    <xf numFmtId="3" fontId="0" fillId="0" borderId="1" xfId="0" applyNumberFormat="1" applyFont="1" applyBorder="1" applyAlignment="1">
      <alignment horizontal="right"/>
    </xf>
    <xf numFmtId="0" fontId="0" fillId="0" borderId="1" xfId="0" applyFont="1" applyBorder="1" applyAlignment="1">
      <alignment horizontal="right"/>
    </xf>
    <xf numFmtId="171" fontId="0" fillId="0" borderId="1" xfId="0" applyNumberFormat="1" applyFont="1" applyBorder="1" applyAlignment="1">
      <alignment horizontal="right"/>
    </xf>
    <xf numFmtId="175" fontId="0" fillId="0" borderId="1" xfId="0" applyNumberFormat="1" applyFont="1" applyFill="1" applyBorder="1" applyAlignment="1">
      <alignment horizontal="right" wrapText="1"/>
    </xf>
    <xf numFmtId="165" fontId="0" fillId="0" borderId="1" xfId="0" applyNumberFormat="1" applyFont="1" applyBorder="1" applyAlignment="1">
      <alignment horizontal="right"/>
    </xf>
    <xf numFmtId="176" fontId="0" fillId="0" borderId="0" xfId="0" applyNumberFormat="1" applyFont="1" applyFill="1" applyBorder="1" applyAlignment="1">
      <alignment/>
    </xf>
    <xf numFmtId="177" fontId="0" fillId="33" borderId="0" xfId="0" applyNumberFormat="1" applyFont="1" applyFill="1" applyBorder="1" applyAlignment="1">
      <alignment/>
    </xf>
    <xf numFmtId="3" fontId="0" fillId="0" borderId="0" xfId="0" applyNumberFormat="1" applyAlignment="1">
      <alignment horizontal="centerContinuous"/>
    </xf>
    <xf numFmtId="185" fontId="0" fillId="0" borderId="0" xfId="0" applyNumberFormat="1" applyFont="1" applyAlignment="1">
      <alignment/>
    </xf>
    <xf numFmtId="0" fontId="10" fillId="0" borderId="0" xfId="0" applyFont="1" applyAlignment="1">
      <alignment horizontal="left"/>
    </xf>
    <xf numFmtId="3" fontId="1" fillId="0" borderId="0" xfId="0" applyNumberFormat="1" applyFont="1" applyBorder="1" applyAlignment="1" quotePrefix="1">
      <alignment wrapText="1"/>
    </xf>
    <xf numFmtId="3" fontId="1" fillId="0" borderId="0" xfId="0" applyNumberFormat="1" applyFont="1" applyBorder="1" applyAlignment="1">
      <alignment wrapText="1"/>
    </xf>
    <xf numFmtId="10" fontId="0" fillId="0" borderId="1" xfId="0" applyNumberFormat="1" applyBorder="1" applyAlignment="1">
      <alignment/>
    </xf>
    <xf numFmtId="0" fontId="0" fillId="0" borderId="0" xfId="0" applyAlignment="1" quotePrefix="1">
      <alignment horizontal="right"/>
    </xf>
    <xf numFmtId="174" fontId="0" fillId="0" borderId="1" xfId="0" applyNumberFormat="1" applyBorder="1" applyAlignment="1">
      <alignment/>
    </xf>
    <xf numFmtId="189" fontId="0" fillId="0" borderId="0" xfId="0" applyNumberFormat="1" applyAlignment="1">
      <alignment/>
    </xf>
    <xf numFmtId="170" fontId="0" fillId="0" borderId="0" xfId="0" applyNumberFormat="1" applyFont="1" applyFill="1" applyBorder="1" applyAlignment="1">
      <alignment horizontal="right" wrapText="1"/>
    </xf>
    <xf numFmtId="0" fontId="0" fillId="0" borderId="1" xfId="0" applyBorder="1" applyAlignment="1">
      <alignment horizontal="right"/>
    </xf>
    <xf numFmtId="167" fontId="0" fillId="0" borderId="0" xfId="0" applyNumberFormat="1" applyFont="1" applyBorder="1" applyAlignment="1">
      <alignment horizontal="right" wrapText="1"/>
    </xf>
    <xf numFmtId="0" fontId="2" fillId="0" borderId="0" xfId="0" applyFont="1" applyAlignment="1" quotePrefix="1">
      <alignment horizontal="left" indent="1"/>
    </xf>
    <xf numFmtId="0" fontId="10" fillId="0" borderId="0" xfId="0" applyFont="1" applyAlignment="1">
      <alignment/>
    </xf>
    <xf numFmtId="164" fontId="0" fillId="0" borderId="0" xfId="0" applyNumberFormat="1" applyFont="1" applyBorder="1" applyAlignment="1" quotePrefix="1">
      <alignment horizontal="left" wrapText="1"/>
    </xf>
    <xf numFmtId="10" fontId="0" fillId="0" borderId="1" xfId="0" applyNumberFormat="1" applyFont="1" applyBorder="1" applyAlignment="1">
      <alignment/>
    </xf>
    <xf numFmtId="10" fontId="0" fillId="0" borderId="0" xfId="0" applyNumberFormat="1" applyFont="1" applyAlignment="1" quotePrefix="1">
      <alignment horizontal="right"/>
    </xf>
    <xf numFmtId="3" fontId="0" fillId="0" borderId="0" xfId="0" applyNumberFormat="1" applyFont="1" applyFill="1" applyAlignment="1">
      <alignment/>
    </xf>
    <xf numFmtId="0" fontId="2" fillId="0" borderId="0" xfId="0" applyFont="1" applyAlignment="1" quotePrefix="1">
      <alignment horizontal="right"/>
    </xf>
    <xf numFmtId="177" fontId="0" fillId="33" borderId="0" xfId="0" applyNumberFormat="1" applyFont="1" applyFill="1" applyBorder="1" applyAlignment="1">
      <alignment horizontal="right" wrapText="1"/>
    </xf>
    <xf numFmtId="177" fontId="0" fillId="0" borderId="0" xfId="0" applyNumberFormat="1" applyFont="1" applyFill="1" applyAlignment="1">
      <alignment horizontal="right"/>
    </xf>
    <xf numFmtId="0" fontId="0" fillId="0" borderId="0" xfId="0" applyFont="1" applyFill="1" applyAlignment="1">
      <alignment horizontal="left"/>
    </xf>
    <xf numFmtId="165" fontId="0" fillId="0" borderId="23" xfId="0" applyNumberFormat="1" applyFont="1" applyBorder="1" applyAlignment="1">
      <alignment horizontal="right" wrapText="1"/>
    </xf>
    <xf numFmtId="171" fontId="0" fillId="0" borderId="23" xfId="0" applyNumberFormat="1" applyFont="1" applyBorder="1" applyAlignment="1">
      <alignment horizontal="right" wrapText="1"/>
    </xf>
    <xf numFmtId="10" fontId="0" fillId="0" borderId="23" xfId="0" applyNumberFormat="1" applyBorder="1" applyAlignment="1">
      <alignment/>
    </xf>
    <xf numFmtId="171" fontId="0" fillId="0" borderId="18" xfId="0" applyNumberFormat="1" applyFont="1" applyBorder="1" applyAlignment="1">
      <alignment horizontal="right" wrapText="1"/>
    </xf>
    <xf numFmtId="0" fontId="0" fillId="0" borderId="17" xfId="0" applyBorder="1" applyAlignment="1">
      <alignment horizontal="right"/>
    </xf>
    <xf numFmtId="171" fontId="0" fillId="0" borderId="19" xfId="0" applyNumberFormat="1" applyFont="1" applyBorder="1" applyAlignment="1">
      <alignment horizontal="right" wrapText="1"/>
    </xf>
    <xf numFmtId="0" fontId="0" fillId="0" borderId="12" xfId="0" applyBorder="1" applyAlignment="1">
      <alignment horizontal="centerContinuous"/>
    </xf>
    <xf numFmtId="0" fontId="0" fillId="0" borderId="17" xfId="0" applyBorder="1" applyAlignment="1" quotePrefix="1">
      <alignment horizontal="right"/>
    </xf>
    <xf numFmtId="0" fontId="0" fillId="0" borderId="19"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Fill="1" applyBorder="1" applyAlignment="1">
      <alignment horizontal="left" indent="5"/>
    </xf>
    <xf numFmtId="0" fontId="0" fillId="0" borderId="17" xfId="0" applyFill="1" applyBorder="1" applyAlignment="1">
      <alignment horizontal="right"/>
    </xf>
    <xf numFmtId="0" fontId="0" fillId="0" borderId="1" xfId="0" applyFill="1" applyBorder="1" applyAlignment="1">
      <alignment horizontal="right"/>
    </xf>
    <xf numFmtId="0" fontId="0" fillId="0" borderId="11" xfId="0" applyBorder="1" applyAlignment="1">
      <alignment/>
    </xf>
    <xf numFmtId="0" fontId="0" fillId="0" borderId="11" xfId="0" applyFill="1" applyBorder="1" applyAlignment="1">
      <alignment horizontal="center"/>
    </xf>
    <xf numFmtId="0" fontId="0" fillId="0" borderId="11" xfId="0" applyFill="1" applyBorder="1" applyAlignment="1" quotePrefix="1">
      <alignment horizontal="left" indent="5"/>
    </xf>
    <xf numFmtId="0" fontId="2" fillId="0" borderId="0" xfId="0" applyFont="1" applyFill="1" applyAlignment="1">
      <alignment horizontal="left"/>
    </xf>
    <xf numFmtId="0" fontId="0" fillId="0" borderId="0" xfId="0" applyFill="1" applyBorder="1" applyAlignment="1" quotePrefix="1">
      <alignment horizontal="left"/>
    </xf>
    <xf numFmtId="165" fontId="0" fillId="0" borderId="0" xfId="0" applyNumberFormat="1" applyFont="1" applyBorder="1" applyAlignment="1" quotePrefix="1">
      <alignment horizontal="right"/>
    </xf>
    <xf numFmtId="165" fontId="0" fillId="0" borderId="0" xfId="0" applyNumberFormat="1" applyFont="1" applyFill="1" applyBorder="1" applyAlignment="1" quotePrefix="1">
      <alignment horizontal="right"/>
    </xf>
    <xf numFmtId="177" fontId="0" fillId="0" borderId="0" xfId="0" applyNumberFormat="1" applyFill="1" applyBorder="1" applyAlignment="1">
      <alignment/>
    </xf>
    <xf numFmtId="165" fontId="0" fillId="0" borderId="0" xfId="0" applyNumberFormat="1" applyFill="1" applyBorder="1" applyAlignment="1">
      <alignment/>
    </xf>
    <xf numFmtId="176" fontId="0" fillId="0" borderId="0" xfId="0" applyNumberFormat="1" applyFill="1" applyAlignment="1">
      <alignment horizontal="right"/>
    </xf>
    <xf numFmtId="0" fontId="0" fillId="0" borderId="0" xfId="0" applyFill="1" applyAlignment="1">
      <alignment horizontal="left" indent="2"/>
    </xf>
    <xf numFmtId="171" fontId="0" fillId="0" borderId="0" xfId="0" applyNumberFormat="1" applyFont="1" applyFill="1" applyBorder="1" applyAlignment="1">
      <alignment horizontal="right" wrapText="1"/>
    </xf>
    <xf numFmtId="165" fontId="0" fillId="0" borderId="0" xfId="0" applyNumberFormat="1" applyFill="1" applyAlignment="1">
      <alignment horizontal="right"/>
    </xf>
    <xf numFmtId="3" fontId="0" fillId="0" borderId="0" xfId="0" applyNumberFormat="1" applyFont="1" applyFill="1" applyBorder="1" applyAlignment="1" quotePrefix="1">
      <alignment horizontal="left"/>
    </xf>
    <xf numFmtId="0" fontId="0" fillId="0" borderId="0" xfId="0" applyFont="1" applyFill="1" applyBorder="1" applyAlignment="1" quotePrefix="1">
      <alignment horizontal="left" indent="2"/>
    </xf>
    <xf numFmtId="3" fontId="0" fillId="0" borderId="0" xfId="0" applyNumberFormat="1" applyFill="1" applyBorder="1" applyAlignment="1">
      <alignment/>
    </xf>
    <xf numFmtId="0" fontId="2" fillId="0" borderId="0" xfId="0" applyFont="1" applyFill="1" applyBorder="1" applyAlignment="1" quotePrefix="1">
      <alignment horizontal="left"/>
    </xf>
    <xf numFmtId="165" fontId="0" fillId="0" borderId="0" xfId="0" applyNumberFormat="1" applyFill="1" applyAlignment="1">
      <alignment/>
    </xf>
    <xf numFmtId="0" fontId="0" fillId="0" borderId="0" xfId="0" applyFill="1" applyBorder="1" applyAlignment="1">
      <alignment horizontal="right"/>
    </xf>
    <xf numFmtId="174" fontId="0" fillId="0" borderId="0" xfId="0" applyNumberFormat="1" applyBorder="1" applyAlignment="1">
      <alignment/>
    </xf>
    <xf numFmtId="0" fontId="0" fillId="0" borderId="0" xfId="0" applyBorder="1" applyAlignment="1">
      <alignment horizontal="left" indent="2"/>
    </xf>
    <xf numFmtId="3" fontId="0"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Border="1" applyAlignment="1" quotePrefix="1">
      <alignment horizontal="left" indent="4"/>
    </xf>
    <xf numFmtId="3" fontId="0" fillId="0" borderId="0" xfId="0" applyNumberFormat="1" applyFill="1" applyAlignment="1">
      <alignment horizontal="right"/>
    </xf>
    <xf numFmtId="3" fontId="2"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165" fontId="2" fillId="0" borderId="0" xfId="0" applyNumberFormat="1" applyFont="1" applyFill="1" applyAlignment="1">
      <alignment horizontal="right"/>
    </xf>
    <xf numFmtId="176" fontId="2" fillId="0" borderId="0" xfId="0" applyNumberFormat="1" applyFont="1" applyFill="1" applyAlignment="1">
      <alignment/>
    </xf>
    <xf numFmtId="165" fontId="2" fillId="0" borderId="0" xfId="0" applyNumberFormat="1" applyFont="1" applyAlignment="1">
      <alignment horizontal="right"/>
    </xf>
    <xf numFmtId="165" fontId="2" fillId="0" borderId="0" xfId="0" applyNumberFormat="1" applyFont="1" applyFill="1" applyAlignment="1">
      <alignment/>
    </xf>
    <xf numFmtId="0" fontId="2" fillId="0" borderId="0" xfId="0" applyFont="1" applyBorder="1" applyAlignment="1">
      <alignment horizontal="right"/>
    </xf>
    <xf numFmtId="0" fontId="2" fillId="0" borderId="1" xfId="0" applyFont="1" applyBorder="1" applyAlignment="1">
      <alignment horizontal="right"/>
    </xf>
    <xf numFmtId="6" fontId="0" fillId="0" borderId="0" xfId="0" applyNumberFormat="1" applyFill="1" applyBorder="1" applyAlignment="1" quotePrefix="1">
      <alignment horizontal="right"/>
    </xf>
    <xf numFmtId="177" fontId="0" fillId="0" borderId="0" xfId="0" applyNumberFormat="1" applyFont="1" applyFill="1" applyBorder="1" applyAlignment="1">
      <alignment/>
    </xf>
    <xf numFmtId="6" fontId="0" fillId="0" borderId="21" xfId="0" applyNumberFormat="1" applyFill="1" applyBorder="1" applyAlignment="1" quotePrefix="1">
      <alignment horizontal="right"/>
    </xf>
    <xf numFmtId="0" fontId="0" fillId="0" borderId="22" xfId="0" applyFill="1" applyBorder="1" applyAlignment="1">
      <alignment horizontal="right"/>
    </xf>
    <xf numFmtId="171" fontId="0" fillId="0" borderId="22" xfId="0" applyNumberFormat="1" applyFont="1" applyBorder="1" applyAlignment="1">
      <alignment horizontal="right" wrapText="1"/>
    </xf>
    <xf numFmtId="0" fontId="0" fillId="0" borderId="18" xfId="0" applyFont="1" applyBorder="1" applyAlignment="1">
      <alignment/>
    </xf>
    <xf numFmtId="0" fontId="0" fillId="0" borderId="22" xfId="0" applyFont="1" applyBorder="1" applyAlignment="1">
      <alignment/>
    </xf>
    <xf numFmtId="0" fontId="2" fillId="0" borderId="43" xfId="0" applyFont="1" applyBorder="1" applyAlignment="1">
      <alignment horizontal="centerContinuous"/>
    </xf>
    <xf numFmtId="0" fontId="0" fillId="0" borderId="44" xfId="0" applyBorder="1" applyAlignment="1">
      <alignment horizontal="centerContinuous"/>
    </xf>
    <xf numFmtId="0" fontId="0" fillId="0" borderId="45" xfId="0" applyBorder="1" applyAlignment="1">
      <alignment horizontal="centerContinuous"/>
    </xf>
    <xf numFmtId="0" fontId="2" fillId="0" borderId="44" xfId="0" applyFont="1" applyBorder="1" applyAlignment="1">
      <alignment horizontal="centerContinuous"/>
    </xf>
    <xf numFmtId="0" fontId="2" fillId="0" borderId="46" xfId="0" applyFont="1" applyBorder="1" applyAlignment="1">
      <alignment horizontal="centerContinuous"/>
    </xf>
    <xf numFmtId="0" fontId="0" fillId="0" borderId="27" xfId="0" applyFill="1" applyBorder="1" applyAlignment="1">
      <alignment horizontal="right"/>
    </xf>
    <xf numFmtId="171" fontId="2" fillId="0" borderId="32" xfId="0" applyNumberFormat="1" applyFont="1" applyBorder="1" applyAlignment="1">
      <alignment horizontal="right" wrapText="1"/>
    </xf>
    <xf numFmtId="171" fontId="0" fillId="0" borderId="27" xfId="0" applyNumberFormat="1" applyFont="1" applyBorder="1" applyAlignment="1">
      <alignment horizontal="right" wrapText="1"/>
    </xf>
    <xf numFmtId="165" fontId="0" fillId="0" borderId="47" xfId="0" applyNumberFormat="1" applyFont="1" applyBorder="1" applyAlignment="1">
      <alignment/>
    </xf>
    <xf numFmtId="3" fontId="0" fillId="0" borderId="31" xfId="0" applyNumberFormat="1" applyFont="1" applyBorder="1" applyAlignment="1">
      <alignment/>
    </xf>
    <xf numFmtId="171" fontId="0" fillId="0" borderId="48" xfId="0" applyNumberFormat="1" applyFont="1" applyBorder="1" applyAlignment="1">
      <alignment horizontal="right" wrapText="1"/>
    </xf>
    <xf numFmtId="165" fontId="0" fillId="0" borderId="47" xfId="0" applyNumberFormat="1" applyBorder="1" applyAlignment="1">
      <alignment/>
    </xf>
    <xf numFmtId="3" fontId="0" fillId="0" borderId="31" xfId="0" applyNumberFormat="1" applyBorder="1" applyAlignment="1">
      <alignment/>
    </xf>
    <xf numFmtId="171" fontId="2" fillId="0" borderId="49" xfId="0" applyNumberFormat="1" applyFont="1" applyBorder="1" applyAlignment="1">
      <alignment horizontal="right" wrapText="1"/>
    </xf>
    <xf numFmtId="171" fontId="0" fillId="0" borderId="32" xfId="0" applyNumberFormat="1" applyFont="1" applyBorder="1" applyAlignment="1">
      <alignment horizontal="right" wrapText="1"/>
    </xf>
    <xf numFmtId="0" fontId="0" fillId="0" borderId="24" xfId="0" applyFill="1" applyBorder="1" applyAlignment="1">
      <alignment/>
    </xf>
    <xf numFmtId="171" fontId="2" fillId="0" borderId="27" xfId="0" applyNumberFormat="1" applyFont="1" applyBorder="1" applyAlignment="1">
      <alignment horizontal="right" wrapText="1"/>
    </xf>
    <xf numFmtId="0" fontId="0" fillId="0" borderId="28" xfId="0" applyFill="1" applyBorder="1" applyAlignment="1">
      <alignment/>
    </xf>
    <xf numFmtId="0" fontId="0" fillId="0" borderId="40" xfId="0" applyBorder="1" applyAlignment="1">
      <alignment/>
    </xf>
    <xf numFmtId="0" fontId="2" fillId="0" borderId="41" xfId="0" applyFont="1" applyBorder="1" applyAlignment="1" quotePrefix="1">
      <alignment horizontal="right"/>
    </xf>
    <xf numFmtId="165" fontId="0" fillId="0" borderId="41" xfId="0" applyNumberFormat="1" applyFont="1" applyBorder="1" applyAlignment="1">
      <alignment/>
    </xf>
    <xf numFmtId="0" fontId="0" fillId="0" borderId="41" xfId="0" applyBorder="1" applyAlignment="1">
      <alignment/>
    </xf>
    <xf numFmtId="0" fontId="0" fillId="0" borderId="42" xfId="0" applyBorder="1" applyAlignment="1">
      <alignment/>
    </xf>
    <xf numFmtId="0" fontId="1" fillId="0" borderId="0" xfId="0" applyFont="1" applyAlignment="1" quotePrefix="1">
      <alignment horizontal="left"/>
    </xf>
    <xf numFmtId="0" fontId="0" fillId="0" borderId="0" xfId="0" applyAlignment="1" quotePrefix="1">
      <alignment horizontal="left" indent="4"/>
    </xf>
    <xf numFmtId="0" fontId="2" fillId="0" borderId="0" xfId="0" applyFont="1" applyAlignment="1">
      <alignment horizontal="left" indent="4"/>
    </xf>
    <xf numFmtId="0" fontId="0" fillId="0" borderId="0" xfId="0" applyFill="1" applyAlignment="1">
      <alignment horizontal="right"/>
    </xf>
    <xf numFmtId="0" fontId="0" fillId="0" borderId="0" xfId="0" applyFill="1" applyAlignment="1" quotePrefix="1">
      <alignment horizontal="right"/>
    </xf>
    <xf numFmtId="168" fontId="0" fillId="0" borderId="0" xfId="0" applyNumberFormat="1" applyFont="1" applyFill="1" applyAlignment="1" quotePrefix="1">
      <alignment horizontal="right"/>
    </xf>
    <xf numFmtId="168" fontId="0" fillId="0" borderId="0" xfId="0" applyNumberFormat="1" applyFont="1" applyFill="1" applyBorder="1" applyAlignment="1" quotePrefix="1">
      <alignment horizontal="right"/>
    </xf>
    <xf numFmtId="171" fontId="0" fillId="0" borderId="0" xfId="0" applyNumberFormat="1" applyFill="1" applyAlignment="1">
      <alignment horizontal="right"/>
    </xf>
    <xf numFmtId="171" fontId="0" fillId="0" borderId="0" xfId="0" applyNumberFormat="1" applyBorder="1" applyAlignment="1">
      <alignment/>
    </xf>
    <xf numFmtId="171" fontId="2" fillId="0" borderId="0" xfId="0" applyNumberFormat="1" applyFont="1" applyFill="1" applyAlignment="1">
      <alignment horizontal="right"/>
    </xf>
    <xf numFmtId="165" fontId="2" fillId="0" borderId="0" xfId="0" applyNumberFormat="1" applyFont="1" applyBorder="1" applyAlignment="1">
      <alignment/>
    </xf>
    <xf numFmtId="171" fontId="2" fillId="0" borderId="0" xfId="0" applyNumberFormat="1" applyFont="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quotePrefix="1">
      <alignment horizontal="left"/>
    </xf>
    <xf numFmtId="175" fontId="0" fillId="0" borderId="11" xfId="0" applyNumberFormat="1" applyFill="1" applyBorder="1" applyAlignment="1">
      <alignment/>
    </xf>
    <xf numFmtId="175" fontId="0" fillId="0" borderId="16" xfId="0" applyNumberFormat="1" applyFill="1" applyBorder="1" applyAlignment="1">
      <alignment/>
    </xf>
    <xf numFmtId="175" fontId="0" fillId="0" borderId="0" xfId="0" applyNumberFormat="1" applyFill="1" applyBorder="1" applyAlignment="1">
      <alignment/>
    </xf>
    <xf numFmtId="175" fontId="0" fillId="0" borderId="15" xfId="0" applyNumberFormat="1" applyFont="1" applyFill="1" applyBorder="1" applyAlignment="1">
      <alignment horizontal="center"/>
    </xf>
    <xf numFmtId="175" fontId="0" fillId="0" borderId="16" xfId="0" applyNumberFormat="1" applyFont="1" applyFill="1" applyBorder="1" applyAlignment="1">
      <alignment horizontal="center"/>
    </xf>
    <xf numFmtId="175" fontId="0" fillId="34" borderId="11" xfId="0" applyNumberFormat="1" applyFill="1" applyBorder="1" applyAlignment="1">
      <alignment/>
    </xf>
    <xf numFmtId="0" fontId="0" fillId="0" borderId="0" xfId="0"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quotePrefix="1">
      <alignment horizontal="centerContinuous"/>
    </xf>
    <xf numFmtId="3" fontId="1" fillId="0" borderId="0" xfId="0" applyNumberFormat="1" applyFont="1" applyBorder="1" applyAlignment="1" quotePrefix="1">
      <alignment horizontal="right" wrapText="1"/>
    </xf>
    <xf numFmtId="3" fontId="1" fillId="0" borderId="0" xfId="0" applyNumberFormat="1" applyFont="1" applyBorder="1" applyAlignment="1">
      <alignment horizontal="right" wrapText="1"/>
    </xf>
    <xf numFmtId="175" fontId="0" fillId="0" borderId="0" xfId="65" applyNumberFormat="1" applyBorder="1" applyAlignment="1">
      <alignment/>
    </xf>
    <xf numFmtId="175" fontId="0" fillId="0" borderId="0" xfId="0" applyNumberFormat="1" applyBorder="1" applyAlignment="1">
      <alignment/>
    </xf>
    <xf numFmtId="171" fontId="0" fillId="0" borderId="0" xfId="0" applyNumberFormat="1" applyFont="1" applyFill="1" applyBorder="1" applyAlignment="1" quotePrefix="1">
      <alignment horizontal="left"/>
    </xf>
    <xf numFmtId="186" fontId="0" fillId="0" borderId="0" xfId="65" applyNumberFormat="1" applyFont="1" applyAlignment="1">
      <alignment/>
    </xf>
    <xf numFmtId="177" fontId="0" fillId="0" borderId="0" xfId="0" applyNumberFormat="1" applyFont="1" applyFill="1" applyBorder="1" applyAlignment="1">
      <alignment horizontal="right" wrapText="1"/>
    </xf>
    <xf numFmtId="171" fontId="0" fillId="0" borderId="0" xfId="0" applyNumberFormat="1" applyFont="1" applyFill="1" applyBorder="1" applyAlignment="1">
      <alignment horizontal="right"/>
    </xf>
    <xf numFmtId="10" fontId="0" fillId="0" borderId="0" xfId="0" applyNumberFormat="1" applyFont="1" applyFill="1" applyAlignment="1" quotePrefix="1">
      <alignment horizontal="left"/>
    </xf>
    <xf numFmtId="175" fontId="0" fillId="0" borderId="0" xfId="0" applyNumberFormat="1" applyFont="1" applyFill="1" applyAlignment="1">
      <alignment horizontal="right"/>
    </xf>
    <xf numFmtId="171" fontId="0" fillId="0" borderId="0" xfId="0" applyNumberFormat="1" applyFont="1" applyFill="1" applyBorder="1" applyAlignment="1">
      <alignment wrapText="1"/>
    </xf>
    <xf numFmtId="171" fontId="0" fillId="0" borderId="0" xfId="0" applyNumberFormat="1" applyFont="1" applyFill="1" applyAlignment="1">
      <alignment/>
    </xf>
    <xf numFmtId="3" fontId="0" fillId="0" borderId="0" xfId="0" applyNumberFormat="1" applyFont="1" applyFill="1" applyBorder="1" applyAlignment="1">
      <alignment wrapText="1"/>
    </xf>
    <xf numFmtId="9" fontId="0" fillId="0" borderId="0" xfId="0" applyNumberFormat="1" applyFont="1" applyFill="1" applyAlignment="1">
      <alignment horizontal="right"/>
    </xf>
    <xf numFmtId="0" fontId="2" fillId="0" borderId="0" xfId="0" applyFont="1" applyFill="1" applyAlignment="1" quotePrefix="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quotePrefix="1">
      <alignment horizontal="right" wrapText="1"/>
    </xf>
    <xf numFmtId="0" fontId="0" fillId="0" borderId="0" xfId="0" applyFont="1" applyFill="1" applyAlignment="1" quotePrefix="1">
      <alignment horizontal="right" wrapText="1"/>
    </xf>
    <xf numFmtId="0" fontId="1" fillId="0" borderId="0" xfId="0" applyFont="1" applyFill="1" applyAlignment="1">
      <alignment horizontal="right"/>
    </xf>
    <xf numFmtId="0" fontId="1" fillId="0" borderId="0" xfId="0" applyFont="1" applyFill="1" applyAlignment="1" quotePrefix="1">
      <alignment horizontal="right"/>
    </xf>
    <xf numFmtId="3" fontId="0" fillId="0" borderId="0" xfId="0" applyNumberFormat="1" applyFont="1" applyFill="1" applyBorder="1" applyAlignment="1">
      <alignment horizontal="right" wrapText="1"/>
    </xf>
    <xf numFmtId="175" fontId="0" fillId="0" borderId="0" xfId="65" applyNumberFormat="1" applyFont="1" applyAlignment="1">
      <alignment/>
    </xf>
    <xf numFmtId="176" fontId="0" fillId="0" borderId="22" xfId="0" applyNumberFormat="1" applyBorder="1" applyAlignment="1">
      <alignment/>
    </xf>
    <xf numFmtId="181" fontId="0" fillId="33" borderId="50" xfId="0" applyNumberFormat="1" applyFont="1" applyFill="1" applyBorder="1" applyAlignment="1">
      <alignment/>
    </xf>
    <xf numFmtId="0" fontId="2" fillId="0" borderId="16" xfId="0" applyFont="1" applyFill="1" applyBorder="1" applyAlignment="1" quotePrefix="1">
      <alignment horizontal="left"/>
    </xf>
    <xf numFmtId="0" fontId="0" fillId="0" borderId="0" xfId="0" applyFont="1" applyAlignment="1" quotePrefix="1">
      <alignment horizontal="left" vertical="center"/>
    </xf>
    <xf numFmtId="0" fontId="0" fillId="0" borderId="0" xfId="0" applyAlignment="1">
      <alignment/>
    </xf>
    <xf numFmtId="170" fontId="0" fillId="0" borderId="0" xfId="0" applyNumberFormat="1" applyFont="1" applyAlignment="1">
      <alignment/>
    </xf>
    <xf numFmtId="172" fontId="0" fillId="0" borderId="0"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Alignment="1" quotePrefix="1">
      <alignment horizontal="left"/>
    </xf>
    <xf numFmtId="3" fontId="0" fillId="0" borderId="0" xfId="0" applyNumberFormat="1" applyBorder="1" applyAlignment="1" quotePrefix="1">
      <alignment horizontal="right"/>
    </xf>
    <xf numFmtId="175" fontId="0" fillId="0" borderId="0" xfId="65" applyNumberFormat="1" applyFont="1" applyBorder="1" applyAlignment="1">
      <alignment/>
    </xf>
    <xf numFmtId="176" fontId="0" fillId="0" borderId="0" xfId="0" applyNumberFormat="1" applyFill="1" applyBorder="1" applyAlignment="1">
      <alignment/>
    </xf>
    <xf numFmtId="165" fontId="0" fillId="0" borderId="0" xfId="0" applyNumberFormat="1" applyFont="1" applyFill="1" applyBorder="1" applyAlignment="1">
      <alignment/>
    </xf>
    <xf numFmtId="3" fontId="0" fillId="0" borderId="0" xfId="0" applyNumberFormat="1" applyFont="1" applyFill="1" applyBorder="1" applyAlignment="1">
      <alignment/>
    </xf>
    <xf numFmtId="171" fontId="2"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applyAlignment="1">
      <alignment/>
    </xf>
    <xf numFmtId="0" fontId="0" fillId="0" borderId="0" xfId="0" applyFont="1" applyAlignment="1">
      <alignment horizontal="left" vertical="center" wrapText="1"/>
    </xf>
    <xf numFmtId="0" fontId="0" fillId="0" borderId="0" xfId="0" applyAlignment="1">
      <alignment/>
    </xf>
    <xf numFmtId="0" fontId="0" fillId="0" borderId="0" xfId="0" applyFont="1" applyAlignment="1" quotePrefix="1">
      <alignment horizontal="left" wrapText="1"/>
    </xf>
    <xf numFmtId="0" fontId="0" fillId="0" borderId="0" xfId="0" applyAlignment="1">
      <alignment wrapText="1"/>
    </xf>
    <xf numFmtId="0" fontId="0" fillId="0" borderId="0" xfId="0" applyFont="1" applyAlignment="1" quotePrefix="1">
      <alignment horizontal="left" vertical="center" wrapText="1"/>
    </xf>
    <xf numFmtId="0" fontId="0" fillId="0" borderId="0" xfId="0"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iers [0]_EDYAN" xfId="57"/>
    <cellStyle name="Milliers_EDYAN" xfId="58"/>
    <cellStyle name="Monétaire [0]_EDYAN" xfId="59"/>
    <cellStyle name="Monétaire_EDYAN" xfId="60"/>
    <cellStyle name="Neutral" xfId="61"/>
    <cellStyle name="Normal - Style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Post\UAA\Update\ACR20\PARS20\Costs\UAA%20PARS20%20Model-BaseCFS%20PR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Post\UAA\Update\ACR20\PARS20\Costs\UAA%20PARS20%20Model-BasePlnt%20PR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Post\UAA\Update\ACR20\PARS20\Costs\UAA%20PARS20%20Model-BaseDU%20P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S-Form Processing"/>
      <sheetName val="CFS-Total Processing Cost"/>
      <sheetName val="CFS-Letter Processing"/>
      <sheetName val="CFS-Non Letter Processing"/>
      <sheetName val="CFS-Non Let CIOSS Rejs"/>
      <sheetName val="Form 3547 Distribution"/>
      <sheetName val="Form 3579 Distribution"/>
      <sheetName val="Mail Processing"/>
      <sheetName val="Key Rates"/>
      <sheetName val="CFS Support Costs"/>
      <sheetName val="CFS-Prods"/>
      <sheetName val="CFS-CRA"/>
      <sheetName val="CFS-Forms"/>
      <sheetName val="CFS-Volumes"/>
      <sheetName val="checksu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s Check"/>
      <sheetName val="REC Cost"/>
      <sheetName val="REC Piece Prods"/>
      <sheetName val="REC Unit Prods"/>
      <sheetName val="REC Prods"/>
      <sheetName val="CIOSS Cost"/>
      <sheetName val="CIOSS Prods"/>
      <sheetName val="Route Volume"/>
      <sheetName val="AFR Pieces2"/>
      <sheetName val="AFR Pieces"/>
      <sheetName val="AFR Input"/>
      <sheetName val="CIOSS Rejects"/>
      <sheetName val="PD Vols"/>
      <sheetName val="checksu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te-All Shapes NoPARS"/>
      <sheetName val="Route-All Shapes PARS"/>
      <sheetName val="Route-Letters NoPARS"/>
      <sheetName val="Route-Letters PARS"/>
      <sheetName val="CP Model"/>
      <sheetName val="Route-All Shapes"/>
      <sheetName val="Route-Parcels"/>
      <sheetName val="Route-Flats"/>
      <sheetName val="Route-Letters"/>
      <sheetName val="DU-Nixie &amp; PD Units"/>
      <sheetName val="Form 3547 Distribution"/>
      <sheetName val="Form 3579 Distribution"/>
      <sheetName val="DU-Nixie Forms"/>
      <sheetName val="DU-Accountables"/>
      <sheetName val="DU-Accountables Forms"/>
      <sheetName val="DU-No Record Mail"/>
      <sheetName val="CC Calibrate"/>
      <sheetName val="COA Carrier Detail"/>
      <sheetName val="DU-CFS COA Forms"/>
      <sheetName val="DU-Form 3546 Returns"/>
      <sheetName val="Route-Pieces"/>
      <sheetName val="Route-Pieces2"/>
      <sheetName val="NRM-Pieces"/>
      <sheetName val="NixUnit-Pieces"/>
      <sheetName val="NixUnit-Pieces2"/>
      <sheetName val="AcctUnit-Pieces"/>
      <sheetName val="COA-Forms"/>
      <sheetName val="DU-CRA COSTS"/>
      <sheetName val="PB Factors"/>
      <sheetName val="Route-Prods"/>
      <sheetName val="Nixie-Prods"/>
      <sheetName val="PD-Prods"/>
      <sheetName val="IOCS Inputs"/>
      <sheetName val="NCSC Support Costs"/>
      <sheetName val="PARS Parameters"/>
      <sheetName val="checks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9:H11"/>
  <sheetViews>
    <sheetView zoomScale="70" zoomScaleNormal="70" zoomScalePageLayoutView="0" workbookViewId="0" topLeftCell="A1">
      <selection activeCell="A1" sqref="A1"/>
    </sheetView>
  </sheetViews>
  <sheetFormatPr defaultColWidth="9.140625" defaultRowHeight="12.75"/>
  <sheetData>
    <row r="9" spans="1:8" ht="17.25">
      <c r="A9" s="167" t="s">
        <v>557</v>
      </c>
      <c r="B9" s="107"/>
      <c r="C9" s="107"/>
      <c r="D9" s="107"/>
      <c r="E9" s="107"/>
      <c r="F9" s="107"/>
      <c r="G9" s="107"/>
      <c r="H9" s="107"/>
    </row>
    <row r="10" spans="1:8" ht="17.25">
      <c r="A10" s="167" t="s">
        <v>395</v>
      </c>
      <c r="B10" s="107"/>
      <c r="C10" s="107"/>
      <c r="D10" s="107"/>
      <c r="E10" s="107"/>
      <c r="F10" s="107"/>
      <c r="G10" s="107"/>
      <c r="H10" s="107"/>
    </row>
    <row r="11" spans="1:8" ht="17.25">
      <c r="A11" s="167" t="s">
        <v>823</v>
      </c>
      <c r="B11" s="107"/>
      <c r="C11" s="107"/>
      <c r="D11" s="107"/>
      <c r="E11" s="107"/>
      <c r="F11" s="107"/>
      <c r="G11" s="107"/>
      <c r="H11" s="10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sheetPr codeName="Sheet16">
    <pageSetUpPr fitToPage="1"/>
  </sheetPr>
  <dimension ref="A1:K6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552</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642</v>
      </c>
    </row>
    <row r="5" spans="1:10" ht="12.75">
      <c r="A5" s="353" t="s">
        <v>481</v>
      </c>
      <c r="B5" s="6">
        <f>'Table 3.24-CIOSS Detail'!E13</f>
        <v>621685.7261141733</v>
      </c>
      <c r="C5" s="241" t="s">
        <v>242</v>
      </c>
      <c r="D5" s="83">
        <f>F5/B5</f>
        <v>0.061696650139986986</v>
      </c>
      <c r="F5" s="175">
        <f>'Table 3.24-CIOSS Detail'!K13</f>
        <v>38355.92674108992</v>
      </c>
      <c r="G5" s="241" t="s">
        <v>242</v>
      </c>
      <c r="H5" s="358">
        <f>B5/$B$48</f>
        <v>0.5859859805636357</v>
      </c>
      <c r="J5" s="22">
        <f>D5*H5</f>
        <v>0.03615337202977185</v>
      </c>
    </row>
    <row r="6" spans="1:10" ht="12.75">
      <c r="A6" s="353" t="s">
        <v>95</v>
      </c>
      <c r="B6" s="6">
        <f>'Table 3.28-REC Volume'!G13</f>
        <v>236240.57592338586</v>
      </c>
      <c r="C6" s="241" t="s">
        <v>243</v>
      </c>
      <c r="D6" s="83">
        <f>F6/B6</f>
        <v>0</v>
      </c>
      <c r="F6" s="175">
        <v>0</v>
      </c>
      <c r="G6" s="241"/>
      <c r="H6" s="358">
        <f>B6/$B$48</f>
        <v>0.22267467261418158</v>
      </c>
      <c r="J6" s="22">
        <f>D6*H6</f>
        <v>0</v>
      </c>
    </row>
    <row r="7" spans="1:10" ht="12.75">
      <c r="A7" s="239" t="s">
        <v>499</v>
      </c>
      <c r="B7" s="6">
        <f>'Table 3.28-REC Volume'!H13</f>
        <v>354360.86388507875</v>
      </c>
      <c r="C7" s="241" t="s">
        <v>243</v>
      </c>
      <c r="D7" s="83">
        <f>F7/B7</f>
        <v>0.07657497975006626</v>
      </c>
      <c r="F7" s="175">
        <f>'Table 3.26-REC Detail NonACS'!K13</f>
        <v>27135.17597621589</v>
      </c>
      <c r="G7" s="241" t="s">
        <v>582</v>
      </c>
      <c r="H7" s="358">
        <f>B7/$B$48</f>
        <v>0.33401200892127236</v>
      </c>
      <c r="J7" s="22">
        <f>D7*H7</f>
        <v>0.025576962819425383</v>
      </c>
    </row>
    <row r="8" spans="1:10" ht="12.75">
      <c r="A8" s="239" t="s">
        <v>676</v>
      </c>
      <c r="B8" s="6">
        <v>0</v>
      </c>
      <c r="C8" s="27"/>
      <c r="D8" s="83">
        <v>0</v>
      </c>
      <c r="F8" s="175">
        <v>0</v>
      </c>
      <c r="G8" s="27"/>
      <c r="H8" s="358">
        <f>B8/$B$48</f>
        <v>0</v>
      </c>
      <c r="J8" s="22">
        <f>D8*H8</f>
        <v>0</v>
      </c>
    </row>
    <row r="9" spans="1:10" ht="12.75">
      <c r="A9" s="239" t="s">
        <v>488</v>
      </c>
      <c r="B9" s="6">
        <f>'Table 3.18-Nixie UAA'!D37</f>
        <v>31084.28630570867</v>
      </c>
      <c r="C9" s="241" t="s">
        <v>244</v>
      </c>
      <c r="D9" s="83">
        <f>F9/B9</f>
        <v>0.01640989110176309</v>
      </c>
      <c r="F9" s="175">
        <f>'Table 3.18-Nixie UAA'!I37</f>
        <v>510.08975325270495</v>
      </c>
      <c r="G9" s="241" t="s">
        <v>244</v>
      </c>
      <c r="H9" s="358">
        <f>B9/$B$48</f>
        <v>0.02929929902818179</v>
      </c>
      <c r="J9" s="22">
        <f>D9*H9</f>
        <v>0.00048079830641045636</v>
      </c>
    </row>
    <row r="10" spans="1:10" ht="12.75">
      <c r="A10" s="82" t="s">
        <v>102</v>
      </c>
      <c r="B10" s="6">
        <f>B5</f>
        <v>621685.7261141733</v>
      </c>
      <c r="D10" s="83">
        <f>F10/B10</f>
        <v>0.1061648831526129</v>
      </c>
      <c r="F10" s="165">
        <f>SUM(F5:F9)</f>
        <v>66001.19247055851</v>
      </c>
      <c r="H10" s="142"/>
      <c r="J10" s="22">
        <f>SUM(J5:J9)</f>
        <v>0.06221113315560769</v>
      </c>
    </row>
    <row r="11" spans="1:8" ht="4.5" customHeight="1">
      <c r="A11" s="82"/>
      <c r="B11" s="6"/>
      <c r="F11" s="165"/>
      <c r="H11" s="142"/>
    </row>
    <row r="12" spans="1:8" ht="12.75">
      <c r="A12" s="333" t="s">
        <v>643</v>
      </c>
      <c r="B12" s="6"/>
      <c r="F12" s="165"/>
      <c r="H12" s="142"/>
    </row>
    <row r="13" spans="1:10" ht="12.75">
      <c r="A13" s="353" t="s">
        <v>481</v>
      </c>
      <c r="B13" s="6">
        <f>SUM('Table 3.24-CIOSS Detail'!E6,'Table 3.24-CIOSS Detail'!E10)</f>
        <v>113123.3913216765</v>
      </c>
      <c r="C13" s="241" t="s">
        <v>242</v>
      </c>
      <c r="D13" s="83">
        <f>F13/B13</f>
        <v>0.06169665013998698</v>
      </c>
      <c r="F13" s="175">
        <f>SUM('Table 3.24-CIOSS Detail'!K6,'Table 3.24-CIOSS Detail'!K10)</f>
        <v>6979.334297022315</v>
      </c>
      <c r="G13" s="241" t="s">
        <v>242</v>
      </c>
      <c r="H13" s="358">
        <f>B13/$B$48</f>
        <v>0.10662738197746957</v>
      </c>
      <c r="J13" s="22">
        <f>D13*H13</f>
        <v>0.006578552281206693</v>
      </c>
    </row>
    <row r="14" spans="1:10" ht="12.75">
      <c r="A14" s="353" t="s">
        <v>95</v>
      </c>
      <c r="B14" s="6">
        <f>SUM('Table 3.28-REC Volume'!G6,'Table 3.28-REC Volume'!G10)</f>
        <v>44398.6504312231</v>
      </c>
      <c r="C14" s="241" t="s">
        <v>243</v>
      </c>
      <c r="D14" s="83">
        <f>F14/B14</f>
        <v>0</v>
      </c>
      <c r="F14" s="175">
        <v>0</v>
      </c>
      <c r="H14" s="358">
        <f>B14/$B$48</f>
        <v>0.04184909772862359</v>
      </c>
      <c r="J14" s="22">
        <f>D14*H14</f>
        <v>0</v>
      </c>
    </row>
    <row r="15" spans="1:10" ht="12.75">
      <c r="A15" s="239" t="s">
        <v>499</v>
      </c>
      <c r="B15" s="6">
        <f>SUM('Table 3.28-REC Volume'!H6)</f>
        <v>7001.4626589249665</v>
      </c>
      <c r="C15" s="241" t="s">
        <v>243</v>
      </c>
      <c r="D15" s="83">
        <f>F15/B15</f>
        <v>0.07657497975006623</v>
      </c>
      <c r="F15" s="165">
        <f>SUM('Table 3.26-REC Detail NonACS'!K6)</f>
        <v>536.1368613280242</v>
      </c>
      <c r="G15" s="241" t="s">
        <v>582</v>
      </c>
      <c r="H15" s="358">
        <f>B15/$B$48</f>
        <v>0.006599409941762681</v>
      </c>
      <c r="J15" s="22">
        <f>D15*H15</f>
        <v>0.0005053496826528632</v>
      </c>
    </row>
    <row r="16" spans="1:10" ht="12.75">
      <c r="A16" s="239" t="s">
        <v>676</v>
      </c>
      <c r="B16" s="6">
        <f>SUM('Table 3.28-REC Volume'!H10)</f>
        <v>59596.51298790967</v>
      </c>
      <c r="C16" s="241" t="s">
        <v>243</v>
      </c>
      <c r="D16" s="83">
        <f>F16/B16</f>
        <v>0.038287489875033116</v>
      </c>
      <c r="F16" s="165">
        <f>SUM('Table 3.26-REC Detail NonACS'!K10)</f>
        <v>2281.800887611871</v>
      </c>
      <c r="G16" s="241" t="s">
        <v>582</v>
      </c>
      <c r="H16" s="358">
        <f>B16/$B$48</f>
        <v>0.056174236651172695</v>
      </c>
      <c r="J16" s="22">
        <f>D16*H16</f>
        <v>0.0021507705170194886</v>
      </c>
    </row>
    <row r="17" spans="1:10" ht="12.75">
      <c r="A17" s="239" t="s">
        <v>489</v>
      </c>
      <c r="B17" s="6">
        <v>2126.765243618786</v>
      </c>
      <c r="C17" s="12" t="s">
        <v>586</v>
      </c>
      <c r="D17" s="83">
        <f>'Table 3.21-CFS CIOSS Rejs'!I19</f>
        <v>0.282101553728799</v>
      </c>
      <c r="E17" s="12" t="s">
        <v>587</v>
      </c>
      <c r="F17" s="165">
        <f>B17*D17</f>
        <v>599.9637796412673</v>
      </c>
      <c r="H17" s="358">
        <f>B17/$B$48</f>
        <v>0.0020046376559106293</v>
      </c>
      <c r="J17" s="22">
        <f>D17*H17</f>
        <v>0.0005655113973956461</v>
      </c>
    </row>
    <row r="18" spans="1:10" ht="12.75">
      <c r="A18" s="82" t="s">
        <v>102</v>
      </c>
      <c r="B18" s="6">
        <f>B13</f>
        <v>113123.3913216765</v>
      </c>
      <c r="D18" s="83">
        <f>F18/B18</f>
        <v>0.09191057396819025</v>
      </c>
      <c r="F18" s="165">
        <f>SUM(F13:F17)</f>
        <v>10397.235825603479</v>
      </c>
      <c r="H18" s="142"/>
      <c r="J18" s="22">
        <f>SUM(J13:J17)</f>
        <v>0.00980018387827469</v>
      </c>
    </row>
    <row r="19" ht="4.5" customHeight="1"/>
    <row r="20" ht="12.75">
      <c r="A20" s="15" t="s">
        <v>644</v>
      </c>
    </row>
    <row r="21" spans="1:10" ht="12.75">
      <c r="A21" s="353" t="s">
        <v>307</v>
      </c>
      <c r="B21" s="6">
        <f>'Table 3.16-Route UAA PARS'!D108</f>
        <v>12569.265702408498</v>
      </c>
      <c r="C21" s="285" t="s">
        <v>590</v>
      </c>
      <c r="D21" s="83">
        <f aca="true" t="shared" si="0" ref="D21:D26">F21/B21</f>
        <v>0.0639256221682567</v>
      </c>
      <c r="E21" s="285"/>
      <c r="F21" s="175">
        <f>'Table 3.16-Route UAA PARS'!J108</f>
        <v>803.4981302245934</v>
      </c>
      <c r="G21" s="285" t="s">
        <v>590</v>
      </c>
      <c r="H21" s="358">
        <f aca="true" t="shared" si="1" ref="H21:H27">B21/$B$48</f>
        <v>0.011847486886385506</v>
      </c>
      <c r="J21" s="22">
        <f aca="true" t="shared" si="2" ref="J21:J27">D21*H21</f>
        <v>0.0007573579703424559</v>
      </c>
    </row>
    <row r="22" spans="1:10" ht="12.75">
      <c r="A22" s="353" t="s">
        <v>495</v>
      </c>
      <c r="B22" s="6">
        <f>'Table 3.18-Nixie UAA'!D8</f>
        <v>12569.2657024085</v>
      </c>
      <c r="C22" s="285" t="s">
        <v>591</v>
      </c>
      <c r="D22" s="83">
        <f t="shared" si="0"/>
        <v>0.006602477884066478</v>
      </c>
      <c r="E22" s="285"/>
      <c r="F22" s="175">
        <f>'Table 3.18-Nixie UAA'!I8</f>
        <v>82.98829881910743</v>
      </c>
      <c r="G22" s="285" t="s">
        <v>591</v>
      </c>
      <c r="H22" s="358">
        <f t="shared" si="1"/>
        <v>0.011847486886385507</v>
      </c>
      <c r="J22" s="22">
        <f t="shared" si="2"/>
        <v>7.822277014912793E-05</v>
      </c>
    </row>
    <row r="23" spans="1:10" ht="12.75">
      <c r="A23" s="353" t="s">
        <v>481</v>
      </c>
      <c r="B23" s="6">
        <f>SUM('Table 3.24-CIOSS Detail'!E21,'Table 3.24-CIOSS Detail'!E25)</f>
        <v>12569.2657024085</v>
      </c>
      <c r="C23" s="241" t="s">
        <v>242</v>
      </c>
      <c r="D23" s="83">
        <f t="shared" si="0"/>
        <v>0.04645492934057993</v>
      </c>
      <c r="E23" s="285"/>
      <c r="F23" s="175">
        <f>SUM('Table 3.24-CIOSS Detail'!K21,'Table 3.24-CIOSS Detail'!K25)</f>
        <v>583.9043500683616</v>
      </c>
      <c r="G23" s="241" t="s">
        <v>242</v>
      </c>
      <c r="H23" s="358">
        <f t="shared" si="1"/>
        <v>0.011847486886385507</v>
      </c>
      <c r="J23" s="22">
        <f t="shared" si="2"/>
        <v>0.0005503741661704861</v>
      </c>
    </row>
    <row r="24" spans="1:10" ht="12.75">
      <c r="A24" s="353" t="s">
        <v>95</v>
      </c>
      <c r="B24" s="6">
        <f>SUM('Table 3.28-REC Volume'!G21,'Table 3.28-REC Volume'!G25)</f>
        <v>2836.580444217031</v>
      </c>
      <c r="C24" s="241" t="s">
        <v>243</v>
      </c>
      <c r="D24" s="83">
        <f t="shared" si="0"/>
        <v>0</v>
      </c>
      <c r="F24" s="175">
        <v>0</v>
      </c>
      <c r="H24" s="358">
        <f t="shared" si="1"/>
        <v>0.002673692354884285</v>
      </c>
      <c r="J24" s="22">
        <f t="shared" si="2"/>
        <v>0</v>
      </c>
    </row>
    <row r="25" spans="1:10" ht="12.75">
      <c r="A25" s="239" t="s">
        <v>499</v>
      </c>
      <c r="B25" s="6">
        <f>SUM('Table 3.28-REC Volume'!H21)</f>
        <v>998.3567124763373</v>
      </c>
      <c r="C25" s="241" t="s">
        <v>243</v>
      </c>
      <c r="D25" s="83">
        <f t="shared" si="0"/>
        <v>0.07657497975006623</v>
      </c>
      <c r="E25" s="285"/>
      <c r="F25" s="175">
        <f>SUM('Table 3.26-REC Detail NonACS'!K21)</f>
        <v>76.44914504121823</v>
      </c>
      <c r="G25" s="241" t="s">
        <v>582</v>
      </c>
      <c r="H25" s="358">
        <f t="shared" si="1"/>
        <v>0.0009410269731772707</v>
      </c>
      <c r="J25" s="22">
        <f t="shared" si="2"/>
        <v>7.205912141531562E-05</v>
      </c>
    </row>
    <row r="26" spans="1:10" ht="12.75" customHeight="1">
      <c r="A26" s="239" t="s">
        <v>676</v>
      </c>
      <c r="B26" s="6">
        <f>SUM('Table 3.28-REC Volume'!H25)</f>
        <v>8498.021296424156</v>
      </c>
      <c r="C26" s="241" t="s">
        <v>243</v>
      </c>
      <c r="D26" s="83">
        <f t="shared" si="0"/>
        <v>0.038287489875033116</v>
      </c>
      <c r="E26" s="285"/>
      <c r="F26" s="175">
        <f>SUM('Table 3.26-REC Detail NonACS'!K25)</f>
        <v>325.3679043446557</v>
      </c>
      <c r="G26" s="241" t="s">
        <v>582</v>
      </c>
      <c r="H26" s="358">
        <f t="shared" si="1"/>
        <v>0.00801003004100055</v>
      </c>
      <c r="J26" s="22">
        <f t="shared" si="2"/>
        <v>0.00030668394409351965</v>
      </c>
    </row>
    <row r="27" spans="1:10" ht="12.75">
      <c r="A27" s="239" t="s">
        <v>489</v>
      </c>
      <c r="B27" s="6">
        <f>'Table 3.21-CFS CIOSS Rejs'!B19-B17</f>
        <v>236.30724929097642</v>
      </c>
      <c r="C27" s="285" t="s">
        <v>592</v>
      </c>
      <c r="D27" s="83">
        <f>'Table 3.21-CFS CIOSS Rejs'!I19</f>
        <v>0.282101553728799</v>
      </c>
      <c r="E27" s="12" t="s">
        <v>587</v>
      </c>
      <c r="F27" s="165">
        <f>B27*D27</f>
        <v>66.66264218236309</v>
      </c>
      <c r="H27" s="358">
        <f t="shared" si="1"/>
        <v>0.00022273751732340347</v>
      </c>
      <c r="J27" s="22">
        <f t="shared" si="2"/>
        <v>6.28345997106274E-05</v>
      </c>
    </row>
    <row r="28" spans="1:10" ht="12.75">
      <c r="A28" s="100" t="s">
        <v>102</v>
      </c>
      <c r="B28" s="324">
        <f>B21</f>
        <v>12569.265702408498</v>
      </c>
      <c r="C28" s="18"/>
      <c r="D28" s="83">
        <f>F28/B28</f>
        <v>0.15425487189031073</v>
      </c>
      <c r="E28" s="18"/>
      <c r="F28" s="113">
        <f>SUM(F21:F27)</f>
        <v>1938.8704706802994</v>
      </c>
      <c r="G28" s="18"/>
      <c r="H28" s="142"/>
      <c r="I28" s="18"/>
      <c r="J28" s="552">
        <f>SUM(J21:J27)</f>
        <v>0.0018275325718815326</v>
      </c>
    </row>
    <row r="29" spans="1:10" ht="4.5" customHeight="1">
      <c r="A29" s="100"/>
      <c r="B29" s="324"/>
      <c r="C29" s="18"/>
      <c r="D29" s="18"/>
      <c r="E29" s="18"/>
      <c r="F29" s="113"/>
      <c r="G29" s="18"/>
      <c r="H29" s="142"/>
      <c r="I29" s="18"/>
      <c r="J29" s="18"/>
    </row>
    <row r="30" spans="1:10" ht="12.75" customHeight="1">
      <c r="A30" s="15" t="s">
        <v>645</v>
      </c>
      <c r="B30" s="324"/>
      <c r="C30" s="18"/>
      <c r="D30" s="18"/>
      <c r="E30" s="18"/>
      <c r="F30" s="113"/>
      <c r="G30" s="18"/>
      <c r="H30" s="142"/>
      <c r="I30" s="18"/>
      <c r="J30" s="18"/>
    </row>
    <row r="31" spans="1:10" ht="12.75" customHeight="1">
      <c r="A31" s="353" t="s">
        <v>481</v>
      </c>
      <c r="B31" s="324">
        <f>'Table 3.24-CIOSS Detail'!E16</f>
        <v>20356.725674268077</v>
      </c>
      <c r="C31" s="241" t="s">
        <v>242</v>
      </c>
      <c r="D31" s="83">
        <f>F31/B31</f>
        <v>0.061696650139987</v>
      </c>
      <c r="E31" s="18"/>
      <c r="F31" s="113">
        <f>'Table 3.24-CIOSS Detail'!K16</f>
        <v>1255.9417819210084</v>
      </c>
      <c r="G31" s="241" t="s">
        <v>242</v>
      </c>
      <c r="H31" s="358">
        <f>B31/$B$48</f>
        <v>0.019187758949946017</v>
      </c>
      <c r="I31" s="18"/>
      <c r="J31" s="22">
        <f>D31*H31</f>
        <v>0.0011838204509052237</v>
      </c>
    </row>
    <row r="32" spans="1:10" ht="12.75" customHeight="1">
      <c r="A32" s="353" t="s">
        <v>95</v>
      </c>
      <c r="B32" s="324">
        <f>'Table 3.28-REC Volume'!G16</f>
        <v>8020.549915661622</v>
      </c>
      <c r="C32" s="241" t="s">
        <v>243</v>
      </c>
      <c r="D32" s="83">
        <f>F32/B32</f>
        <v>0</v>
      </c>
      <c r="E32" s="18"/>
      <c r="F32" s="113">
        <v>0</v>
      </c>
      <c r="G32" s="18"/>
      <c r="H32" s="358">
        <f>B32/$B$48</f>
        <v>0.007559977026278732</v>
      </c>
      <c r="I32" s="18"/>
      <c r="J32" s="22">
        <f>D32*H32</f>
        <v>0</v>
      </c>
    </row>
    <row r="33" spans="1:10" ht="12.75" customHeight="1">
      <c r="A33" s="239" t="s">
        <v>499</v>
      </c>
      <c r="B33" s="6">
        <v>0</v>
      </c>
      <c r="D33" s="83">
        <v>0</v>
      </c>
      <c r="F33" s="175">
        <v>0</v>
      </c>
      <c r="G33" s="18"/>
      <c r="H33" s="358">
        <f>B33/$B$48</f>
        <v>0</v>
      </c>
      <c r="I33" s="18"/>
      <c r="J33" s="22">
        <f>D33*H33</f>
        <v>0</v>
      </c>
    </row>
    <row r="34" spans="1:10" ht="12.75" customHeight="1">
      <c r="A34" s="239" t="s">
        <v>676</v>
      </c>
      <c r="B34" s="324">
        <f>'Table 3.28-REC Volume'!H16</f>
        <v>12030.824873492433</v>
      </c>
      <c r="C34" s="241" t="s">
        <v>243</v>
      </c>
      <c r="D34" s="83">
        <f>F34/B34</f>
        <v>0.03828748987503311</v>
      </c>
      <c r="E34" s="285"/>
      <c r="F34" s="175">
        <f>SUM('Table 3.26-REC Detail NonACS'!K16)</f>
        <v>460.630085532138</v>
      </c>
      <c r="G34" s="241" t="s">
        <v>582</v>
      </c>
      <c r="H34" s="358">
        <f>B34/$B$48</f>
        <v>0.011339965539418096</v>
      </c>
      <c r="I34" s="18"/>
      <c r="J34" s="22">
        <f>D34*H34</f>
        <v>0.0004341788157736947</v>
      </c>
    </row>
    <row r="35" spans="1:10" ht="12.75" customHeight="1">
      <c r="A35" s="239" t="s">
        <v>489</v>
      </c>
      <c r="B35" s="324">
        <v>305.35088511402137</v>
      </c>
      <c r="C35" s="327" t="s">
        <v>593</v>
      </c>
      <c r="D35" s="83">
        <f>'Table 3.21-CFS CIOSS Rejs'!I76</f>
        <v>0.022721462540839715</v>
      </c>
      <c r="E35" s="12" t="s">
        <v>587</v>
      </c>
      <c r="F35" s="165">
        <f>B35*D35</f>
        <v>6.938018697930488</v>
      </c>
      <c r="G35" s="18"/>
      <c r="H35" s="358">
        <f>B35/$B$48</f>
        <v>0.0002878163842491905</v>
      </c>
      <c r="I35" s="18"/>
      <c r="J35" s="22">
        <f>D35*H35</f>
        <v>6.539609193357912E-06</v>
      </c>
    </row>
    <row r="36" spans="1:10" ht="12.75" customHeight="1">
      <c r="A36" s="100" t="s">
        <v>102</v>
      </c>
      <c r="B36" s="324">
        <f>B31</f>
        <v>20356.725674268077</v>
      </c>
      <c r="C36" s="18"/>
      <c r="D36" s="83">
        <f>F36/B36</f>
        <v>0.08466537859424415</v>
      </c>
      <c r="E36" s="18"/>
      <c r="F36" s="113">
        <f>SUM(F31:F35)</f>
        <v>1723.509886151077</v>
      </c>
      <c r="G36" s="18"/>
      <c r="H36" s="142"/>
      <c r="I36" s="18"/>
      <c r="J36" s="552">
        <f>SUM(J31:J35)</f>
        <v>0.0016245388758722762</v>
      </c>
    </row>
    <row r="37" spans="1:10" ht="4.5" customHeight="1">
      <c r="A37" s="100"/>
      <c r="B37" s="324"/>
      <c r="C37" s="18"/>
      <c r="D37" s="18"/>
      <c r="E37" s="18"/>
      <c r="F37" s="113"/>
      <c r="G37" s="18"/>
      <c r="H37" s="142"/>
      <c r="I37" s="18"/>
      <c r="J37" s="18"/>
    </row>
    <row r="38" spans="1:10" ht="12.75" customHeight="1">
      <c r="A38" s="15" t="s">
        <v>646</v>
      </c>
      <c r="B38" s="324"/>
      <c r="C38" s="18"/>
      <c r="D38" s="18"/>
      <c r="E38" s="18"/>
      <c r="F38" s="113"/>
      <c r="G38" s="18"/>
      <c r="H38" s="142"/>
      <c r="I38" s="18"/>
      <c r="J38" s="18"/>
    </row>
    <row r="39" spans="1:10" ht="12.75" customHeight="1">
      <c r="A39" s="353" t="s">
        <v>307</v>
      </c>
      <c r="B39" s="324">
        <f>'Table 3.16-Route UAA PARS'!D101</f>
        <v>293187.41618747346</v>
      </c>
      <c r="C39" s="285" t="s">
        <v>590</v>
      </c>
      <c r="D39" s="83">
        <f>F39/B39</f>
        <v>0.07131092421991851</v>
      </c>
      <c r="E39" s="18"/>
      <c r="F39" s="113">
        <f>'Table 3.16-Route UAA PARS'!J101</f>
        <v>20907.46561797863</v>
      </c>
      <c r="G39" s="285" t="s">
        <v>590</v>
      </c>
      <c r="H39" s="358">
        <f aca="true" t="shared" si="3" ref="H39:H45">B39/$B$48</f>
        <v>0.2763513916225631</v>
      </c>
      <c r="I39" s="18"/>
      <c r="J39" s="22">
        <f aca="true" t="shared" si="4" ref="J39:J45">D39*H39</f>
        <v>0.01970687314606562</v>
      </c>
    </row>
    <row r="40" spans="1:10" ht="12.75" customHeight="1">
      <c r="A40" s="353" t="s">
        <v>495</v>
      </c>
      <c r="B40" s="324">
        <f>'Table 3.18-Nixie UAA'!D11</f>
        <v>293187.4161874735</v>
      </c>
      <c r="C40" s="285" t="s">
        <v>591</v>
      </c>
      <c r="D40" s="83">
        <f>F40/B40</f>
        <v>0.006602477884066479</v>
      </c>
      <c r="E40" s="18"/>
      <c r="F40" s="113">
        <f>'Table 3.18-Nixie UAA'!I11</f>
        <v>1935.7634312643881</v>
      </c>
      <c r="G40" s="285" t="s">
        <v>591</v>
      </c>
      <c r="H40" s="358">
        <f t="shared" si="3"/>
        <v>0.27635139162256317</v>
      </c>
      <c r="I40" s="18"/>
      <c r="J40" s="22">
        <f t="shared" si="4"/>
        <v>0.0018246039514189676</v>
      </c>
    </row>
    <row r="41" spans="1:10" ht="12.75" customHeight="1">
      <c r="A41" s="353" t="s">
        <v>481</v>
      </c>
      <c r="B41" s="324">
        <f>SUM('Table 3.24-CIOSS Detail'!E31,'Table 3.24-CIOSS Detail'!E37)</f>
        <v>293187.41618747346</v>
      </c>
      <c r="C41" s="241" t="s">
        <v>242</v>
      </c>
      <c r="D41" s="83">
        <f>F41/B41</f>
        <v>0.031564412901030105</v>
      </c>
      <c r="E41" s="18"/>
      <c r="F41" s="113">
        <f>SUM('Table 3.24-CIOSS Detail'!K31,'Table 3.24-CIOSS Detail'!K37)</f>
        <v>9254.28866192757</v>
      </c>
      <c r="G41" s="241" t="s">
        <v>242</v>
      </c>
      <c r="H41" s="358">
        <f t="shared" si="3"/>
        <v>0.2763513916225631</v>
      </c>
      <c r="I41" s="18"/>
      <c r="J41" s="22">
        <f t="shared" si="4"/>
        <v>0.008722869430948854</v>
      </c>
    </row>
    <row r="42" spans="1:10" ht="12.75" customHeight="1">
      <c r="A42" s="353" t="s">
        <v>95</v>
      </c>
      <c r="B42" s="324">
        <f>SUM('Table 3.28-REC Volume'!G31,'Table 3.28-REC Volume'!G37)</f>
        <v>115137.09378740276</v>
      </c>
      <c r="C42" s="241" t="s">
        <v>243</v>
      </c>
      <c r="D42" s="83">
        <f>F42/B42</f>
        <v>0</v>
      </c>
      <c r="E42" s="18"/>
      <c r="F42" s="113">
        <v>0</v>
      </c>
      <c r="G42" s="18"/>
      <c r="H42" s="358">
        <f t="shared" si="3"/>
        <v>0.10852544938416005</v>
      </c>
      <c r="I42" s="18"/>
      <c r="J42" s="22">
        <f t="shared" si="4"/>
        <v>0</v>
      </c>
    </row>
    <row r="43" spans="1:10" ht="12.75" customHeight="1">
      <c r="A43" s="239" t="s">
        <v>499</v>
      </c>
      <c r="B43" s="6">
        <v>0</v>
      </c>
      <c r="C43" s="241"/>
      <c r="D43" s="83">
        <v>0</v>
      </c>
      <c r="F43" s="175">
        <v>0</v>
      </c>
      <c r="G43" s="18"/>
      <c r="H43" s="358">
        <f t="shared" si="3"/>
        <v>0</v>
      </c>
      <c r="I43" s="18"/>
      <c r="J43" s="22">
        <f t="shared" si="4"/>
        <v>0</v>
      </c>
    </row>
    <row r="44" spans="1:10" ht="12.75" customHeight="1">
      <c r="A44" s="239" t="s">
        <v>676</v>
      </c>
      <c r="B44" s="324">
        <f>SUM('Table 3.28-REC Volume'!H31,'Table 3.28-REC Volume'!H37)</f>
        <v>173652.51115725865</v>
      </c>
      <c r="C44" s="241" t="s">
        <v>243</v>
      </c>
      <c r="D44" s="83">
        <f>F44/B44</f>
        <v>0.0382874898750331</v>
      </c>
      <c r="E44" s="285"/>
      <c r="F44" s="165">
        <f>SUM('Table 3.26-REC Detail NonACS'!K31,'Table 3.26-REC Detail NonACS'!K37)</f>
        <v>6648.718762707614</v>
      </c>
      <c r="G44" s="241" t="s">
        <v>582</v>
      </c>
      <c r="H44" s="358">
        <f t="shared" si="3"/>
        <v>0.16368067136406464</v>
      </c>
      <c r="I44" s="18"/>
      <c r="J44" s="22">
        <f t="shared" si="4"/>
        <v>0.006266922047590245</v>
      </c>
    </row>
    <row r="45" spans="1:10" ht="12.75" customHeight="1">
      <c r="A45" s="239" t="s">
        <v>489</v>
      </c>
      <c r="B45" s="324">
        <f>'Table 3.21-CFS CIOSS Rejs'!B76-B35</f>
        <v>4397.811242812103</v>
      </c>
      <c r="C45" s="327" t="s">
        <v>594</v>
      </c>
      <c r="D45" s="83">
        <f>'Table 3.21-CFS CIOSS Rejs'!I76</f>
        <v>0.022721462540839715</v>
      </c>
      <c r="E45" s="12" t="s">
        <v>587</v>
      </c>
      <c r="F45" s="165">
        <f>B45*D45</f>
        <v>99.92470341523895</v>
      </c>
      <c r="G45" s="18"/>
      <c r="H45" s="358">
        <f t="shared" si="3"/>
        <v>0.0041452708743384475</v>
      </c>
      <c r="I45" s="18"/>
      <c r="J45" s="22">
        <f t="shared" si="4"/>
        <v>9.418661689291492E-05</v>
      </c>
    </row>
    <row r="46" spans="1:10" ht="12.75" customHeight="1">
      <c r="A46" s="100" t="s">
        <v>102</v>
      </c>
      <c r="B46" s="324">
        <f>B39</f>
        <v>293187.41618747346</v>
      </c>
      <c r="C46" s="18"/>
      <c r="D46" s="83">
        <f>F46/B46</f>
        <v>0.13249600437303202</v>
      </c>
      <c r="E46" s="18"/>
      <c r="F46" s="113">
        <f>SUM(F39:F45)</f>
        <v>38846.16117729344</v>
      </c>
      <c r="G46" s="18"/>
      <c r="H46" s="142"/>
      <c r="I46" s="18"/>
      <c r="J46" s="552">
        <f>SUM(J39:J45)</f>
        <v>0.036615455192916604</v>
      </c>
    </row>
    <row r="47" spans="1:10" ht="4.5" customHeight="1">
      <c r="A47" s="100"/>
      <c r="B47" s="324"/>
      <c r="C47" s="18"/>
      <c r="D47" s="18"/>
      <c r="E47" s="18"/>
      <c r="F47" s="113"/>
      <c r="G47" s="18"/>
      <c r="H47" s="142"/>
      <c r="I47" s="18"/>
      <c r="J47" s="18"/>
    </row>
    <row r="48" spans="1:10" ht="12.75">
      <c r="A48" s="91" t="s">
        <v>504</v>
      </c>
      <c r="B48" s="393">
        <f>SUM(B10,B18,B28,B36,B46)</f>
        <v>1060922.525</v>
      </c>
      <c r="C48" s="18"/>
      <c r="D48" s="83"/>
      <c r="E48" s="18"/>
      <c r="F48" s="510">
        <f>SUM(F10,F18,F28,F36,F46)</f>
        <v>118906.9698302868</v>
      </c>
      <c r="G48" s="18"/>
      <c r="H48" s="142"/>
      <c r="I48" s="18"/>
      <c r="J48" s="413">
        <f>SUM(J10,J18,J28,J36,J46)</f>
        <v>0.11207884367455279</v>
      </c>
    </row>
    <row r="49" spans="1:10" ht="12.75" hidden="1">
      <c r="A49" s="5"/>
      <c r="B49" s="240"/>
      <c r="F49" s="359"/>
      <c r="H49" s="6"/>
      <c r="J49" s="6"/>
    </row>
    <row r="50" spans="1:11" ht="12.75" hidden="1">
      <c r="A50" s="23" t="s">
        <v>191</v>
      </c>
      <c r="B50" s="143">
        <f>B5-SUM(B6:B9)</f>
        <v>0</v>
      </c>
      <c r="G50" s="482" t="s">
        <v>311</v>
      </c>
      <c r="H50" s="6">
        <f>SUM('Table 3.16-Route UAA PARS'!J101,'Table 3.16-Route UAA PARS'!J108)</f>
        <v>21710.963748203223</v>
      </c>
      <c r="J50" s="6">
        <f>SUM(F21,F39)</f>
        <v>21710.963748203223</v>
      </c>
      <c r="K50" s="143">
        <f aca="true" t="shared" si="5" ref="K50:K55">H50-J50</f>
        <v>0</v>
      </c>
    </row>
    <row r="51" spans="1:11" ht="12.75" hidden="1">
      <c r="A51" s="5"/>
      <c r="B51" s="143">
        <f>B13-SUM(B14:B17)</f>
        <v>0</v>
      </c>
      <c r="G51" s="46" t="s">
        <v>312</v>
      </c>
      <c r="H51" s="6">
        <f>SUM('Table 3.18-Nixie UAA'!I8,'Table 3.18-Nixie UAA'!I11,'Table 3.18-Nixie UAA'!I35,'Table 3.18-Nixie UAA'!I37)</f>
        <v>2528.841483336201</v>
      </c>
      <c r="J51" s="6">
        <f>SUM(F9,F22,F40)</f>
        <v>2528.8414833362003</v>
      </c>
      <c r="K51" s="143">
        <f t="shared" si="5"/>
        <v>0</v>
      </c>
    </row>
    <row r="52" spans="1:11" ht="12.75" hidden="1">
      <c r="A52" s="5"/>
      <c r="B52" s="143">
        <f>B28-SUM(B24:B27)</f>
        <v>0</v>
      </c>
      <c r="G52" s="46" t="s">
        <v>313</v>
      </c>
      <c r="H52" s="6">
        <f>SUM('Table 3.21-CFS CIOSS Rejs'!H19,'Table 3.21-CFS CIOSS Rejs'!H76)</f>
        <v>773.4891439367998</v>
      </c>
      <c r="J52" s="6">
        <f>SUM(F17,F27,F35,F45)</f>
        <v>773.4891439367998</v>
      </c>
      <c r="K52" s="143">
        <f t="shared" si="5"/>
        <v>0</v>
      </c>
    </row>
    <row r="53" spans="1:11" ht="12.75" hidden="1">
      <c r="A53" s="5"/>
      <c r="B53" s="143">
        <f>B31-SUM(B32:B35)</f>
        <v>0</v>
      </c>
      <c r="G53" s="483" t="s">
        <v>502</v>
      </c>
      <c r="H53" s="6">
        <f>SUM('Table 3.23-CIOSS Summary'!I6,'Table 3.23-CIOSS Summary'!I10,'Table 3.23-CIOSS Summary'!I13)</f>
        <v>56429.395832029186</v>
      </c>
      <c r="J53" s="6">
        <f>SUM(F5,F13,F23,F31,F41)</f>
        <v>56429.39583202917</v>
      </c>
      <c r="K53" s="143">
        <f t="shared" si="5"/>
        <v>0</v>
      </c>
    </row>
    <row r="54" spans="1:11" ht="12.75" hidden="1">
      <c r="A54" s="5"/>
      <c r="B54" s="143">
        <f>B41-SUM(B42:B45)</f>
        <v>0</v>
      </c>
      <c r="G54" s="483" t="s">
        <v>503</v>
      </c>
      <c r="H54" s="6">
        <f>SUM('Table 3.25-REC Summary'!K6,'Table 3.25-REC Summary'!K10,'Table 3.25-REC Summary'!K13)</f>
        <v>37464.27962278141</v>
      </c>
      <c r="J54" s="6">
        <f>SUM(F7:F8,F15:F16,F25:F26,F33:F34,F43:F44)</f>
        <v>37464.27962278142</v>
      </c>
      <c r="K54" s="143">
        <f t="shared" si="5"/>
        <v>0</v>
      </c>
    </row>
    <row r="55" spans="1:11" ht="12.75" hidden="1">
      <c r="A55" s="5"/>
      <c r="B55" s="143">
        <f>B48-SUM('Table 3.23-CIOSS Summary'!C6,'Table 3.23-CIOSS Summary'!C10,'Table 3.23-CIOSS Summary'!C13)</f>
        <v>0</v>
      </c>
      <c r="G55" s="46" t="s">
        <v>314</v>
      </c>
      <c r="H55" s="6">
        <f>SUM(H50:H54)</f>
        <v>118906.96983028682</v>
      </c>
      <c r="J55" s="6">
        <f>SUM(J50:J54)</f>
        <v>118906.9698302868</v>
      </c>
      <c r="K55" s="143">
        <f t="shared" si="5"/>
        <v>0</v>
      </c>
    </row>
    <row r="56" spans="1:8" ht="12.75">
      <c r="A56" s="283"/>
      <c r="B56" s="283"/>
      <c r="C56" s="283"/>
      <c r="D56" s="283"/>
      <c r="E56" s="283"/>
      <c r="F56" s="283"/>
      <c r="H56" s="240"/>
    </row>
    <row r="57" ht="12.75">
      <c r="A57" s="284" t="s">
        <v>235</v>
      </c>
    </row>
    <row r="58" spans="1:5" ht="12.75">
      <c r="A58" s="241" t="s">
        <v>67</v>
      </c>
      <c r="D58" s="12"/>
      <c r="E58" s="241" t="s">
        <v>73</v>
      </c>
    </row>
    <row r="59" spans="1:5" ht="12.75">
      <c r="A59" s="241" t="s">
        <v>68</v>
      </c>
      <c r="D59" s="12"/>
      <c r="E59" s="12" t="s">
        <v>619</v>
      </c>
    </row>
    <row r="60" spans="1:5" ht="12.75">
      <c r="A60" s="241" t="s">
        <v>69</v>
      </c>
      <c r="D60" s="12"/>
      <c r="E60" s="12" t="s">
        <v>74</v>
      </c>
    </row>
    <row r="61" spans="1:5" ht="12.75">
      <c r="A61" s="241" t="s">
        <v>31</v>
      </c>
      <c r="E61" s="12" t="s">
        <v>75</v>
      </c>
    </row>
    <row r="62" spans="1:5" ht="12.75">
      <c r="A62" s="241" t="s">
        <v>32</v>
      </c>
      <c r="E62" s="241" t="s">
        <v>76</v>
      </c>
    </row>
    <row r="63" spans="1:5" ht="12.75">
      <c r="A63" s="12" t="s">
        <v>70</v>
      </c>
      <c r="E63" s="241" t="s">
        <v>33</v>
      </c>
    </row>
    <row r="64" spans="1:5" ht="12.75">
      <c r="A64" s="12" t="s">
        <v>697</v>
      </c>
      <c r="E64" s="241" t="s">
        <v>34</v>
      </c>
    </row>
    <row r="65" spans="1:5" ht="12.75">
      <c r="A65" s="12" t="s">
        <v>71</v>
      </c>
      <c r="E65" s="241" t="s">
        <v>43</v>
      </c>
    </row>
    <row r="66" ht="12.75">
      <c r="A66" s="12" t="s">
        <v>72</v>
      </c>
    </row>
  </sheetData>
  <sheetProtection/>
  <printOptions horizontalCentered="1"/>
  <pageMargins left="0.75" right="0.75" top="1" bottom="1" header="0.5" footer="0.5"/>
  <pageSetup fitToHeight="1" fitToWidth="1" horizontalDpi="600" verticalDpi="600" orientation="landscape" scale="65" r:id="rId3"/>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sheetPr codeName="Sheet17">
    <pageSetUpPr fitToPage="1"/>
  </sheetPr>
  <dimension ref="A1:K3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spans="1:10" ht="12.75">
      <c r="A4" s="333" t="s">
        <v>80</v>
      </c>
      <c r="E4" s="18"/>
      <c r="F4" s="113"/>
      <c r="G4" s="18"/>
      <c r="H4" s="142"/>
      <c r="I4" s="18"/>
      <c r="J4" s="18"/>
    </row>
    <row r="5" spans="1:10" ht="12.75">
      <c r="A5" s="353" t="s">
        <v>307</v>
      </c>
      <c r="B5" s="6">
        <f>'Table 3.15-Route UAA NoPARS'!D111+'Table 3.16-Route UAA PARS'!D111</f>
        <v>2057289.0077708028</v>
      </c>
      <c r="C5" s="12" t="s">
        <v>240</v>
      </c>
      <c r="D5" s="83">
        <f>F5/B5</f>
        <v>0.03317213625511334</v>
      </c>
      <c r="E5" s="18"/>
      <c r="F5" s="175">
        <f>'Table 3.15-Route UAA NoPARS'!J111+'Table 3.16-Route UAA PARS'!J111</f>
        <v>68244.67128191999</v>
      </c>
      <c r="G5" s="12" t="s">
        <v>240</v>
      </c>
      <c r="H5" s="142">
        <f>B5/$B$20</f>
        <v>0.9628135610632926</v>
      </c>
      <c r="I5" s="18"/>
      <c r="J5" s="552">
        <f>D5*H5</f>
        <v>0.03193858263586243</v>
      </c>
    </row>
    <row r="6" spans="1:10" ht="12.75">
      <c r="A6" s="82" t="s">
        <v>487</v>
      </c>
      <c r="B6" s="6">
        <f>SUM('Table 3.18-Nixie UAA'!D20,'Table 3.18-Nixie UAA'!D29)</f>
        <v>2057289.0077708028</v>
      </c>
      <c r="C6" s="12" t="s">
        <v>241</v>
      </c>
      <c r="D6" s="83">
        <f>F6/B6</f>
        <v>0.01906669281428867</v>
      </c>
      <c r="E6" s="18"/>
      <c r="F6" s="175">
        <f>SUM('Table 3.18-Nixie UAA'!I20,'Table 3.18-Nixie UAA'!I29)</f>
        <v>39225.697541378635</v>
      </c>
      <c r="G6" s="12" t="s">
        <v>241</v>
      </c>
      <c r="H6" s="142">
        <f>B6/$B$20</f>
        <v>0.9628135610632926</v>
      </c>
      <c r="I6" s="18"/>
      <c r="J6" s="552">
        <f>D6*H6</f>
        <v>0.018357670406225168</v>
      </c>
    </row>
    <row r="7" spans="1:10" ht="12.75">
      <c r="A7" s="82" t="s">
        <v>102</v>
      </c>
      <c r="B7" s="6">
        <f>B5</f>
        <v>2057289.0077708028</v>
      </c>
      <c r="D7" s="83">
        <f>F7/B7</f>
        <v>0.05223882906940201</v>
      </c>
      <c r="E7" s="18"/>
      <c r="F7" s="113">
        <f>SUM(F5:F6)</f>
        <v>107470.36882329863</v>
      </c>
      <c r="G7" s="18"/>
      <c r="H7" s="355"/>
      <c r="I7" s="18"/>
      <c r="J7" s="552">
        <f>SUM(J5:J6)</f>
        <v>0.050296253042087596</v>
      </c>
    </row>
    <row r="8" spans="5:10" ht="4.5" customHeight="1">
      <c r="E8" s="285"/>
      <c r="F8" s="175"/>
      <c r="G8" s="18"/>
      <c r="H8" s="142"/>
      <c r="I8" s="18"/>
      <c r="J8" s="83"/>
    </row>
    <row r="9" spans="1:10" ht="12.75">
      <c r="A9" s="15" t="s">
        <v>81</v>
      </c>
      <c r="E9" s="285"/>
      <c r="F9" s="175"/>
      <c r="G9" s="18"/>
      <c r="H9" s="142"/>
      <c r="I9" s="18"/>
      <c r="J9" s="83"/>
    </row>
    <row r="10" spans="1:10" ht="12.75">
      <c r="A10" s="353" t="s">
        <v>307</v>
      </c>
      <c r="B10" s="6">
        <f>'Table 3.15-Route UAA NoPARS'!D108</f>
        <v>45650.782923658546</v>
      </c>
      <c r="C10" s="12" t="s">
        <v>242</v>
      </c>
      <c r="D10" s="83">
        <f>F10/B10</f>
        <v>0.09608239980658526</v>
      </c>
      <c r="E10" s="285"/>
      <c r="F10" s="175">
        <f>'Table 3.15-Route UAA NoPARS'!J108</f>
        <v>4386.236776354595</v>
      </c>
      <c r="G10" s="12" t="s">
        <v>242</v>
      </c>
      <c r="H10" s="142">
        <f>B10/$B$20</f>
        <v>0.02136461756517184</v>
      </c>
      <c r="I10" s="18"/>
      <c r="J10" s="552">
        <f>D10*H10</f>
        <v>0.0020527637266116346</v>
      </c>
    </row>
    <row r="11" spans="1:10" ht="12.75">
      <c r="A11" s="82" t="s">
        <v>96</v>
      </c>
      <c r="B11" s="6">
        <f>'Table 3.20-CFS Non-CIOSS'!B19</f>
        <v>45650.78292365854</v>
      </c>
      <c r="C11" s="12" t="s">
        <v>243</v>
      </c>
      <c r="D11" s="83">
        <f>F11/B11</f>
        <v>0.28210155372879886</v>
      </c>
      <c r="E11" s="18"/>
      <c r="F11" s="175">
        <f>'Table 3.20-CFS Non-CIOSS'!H19</f>
        <v>12878.156791700192</v>
      </c>
      <c r="G11" s="12" t="s">
        <v>243</v>
      </c>
      <c r="H11" s="142">
        <f>B11/$B$20</f>
        <v>0.021364617565171835</v>
      </c>
      <c r="I11" s="18"/>
      <c r="J11" s="552">
        <f>D11*H11</f>
        <v>0.0060269918099565625</v>
      </c>
    </row>
    <row r="12" spans="1:10" ht="12.75">
      <c r="A12" s="100" t="s">
        <v>102</v>
      </c>
      <c r="B12" s="6">
        <f>B10</f>
        <v>45650.782923658546</v>
      </c>
      <c r="D12" s="83">
        <f>F12/B12</f>
        <v>0.37818395353538403</v>
      </c>
      <c r="E12" s="18"/>
      <c r="F12" s="113">
        <f>SUM(F10:F11)</f>
        <v>17264.393568054787</v>
      </c>
      <c r="G12" s="18"/>
      <c r="H12" s="355"/>
      <c r="I12" s="18"/>
      <c r="J12" s="552">
        <f>SUM(J10:J11)</f>
        <v>0.008079755536568197</v>
      </c>
    </row>
    <row r="13" spans="1:10" ht="4.5" customHeight="1">
      <c r="A13" s="100"/>
      <c r="E13" s="18"/>
      <c r="F13" s="113"/>
      <c r="G13" s="18"/>
      <c r="H13" s="355"/>
      <c r="I13" s="18"/>
      <c r="J13" s="18"/>
    </row>
    <row r="14" spans="1:10" ht="12.75">
      <c r="A14" s="15" t="s">
        <v>82</v>
      </c>
      <c r="E14" s="18"/>
      <c r="F14" s="113"/>
      <c r="G14" s="18"/>
      <c r="H14" s="355"/>
      <c r="I14" s="18"/>
      <c r="J14" s="18"/>
    </row>
    <row r="15" spans="1:10" ht="12.75">
      <c r="A15" s="353" t="s">
        <v>307</v>
      </c>
      <c r="B15" s="6">
        <f>'Table 3.15-Route UAA NoPARS'!D101</f>
        <v>33807.229672405396</v>
      </c>
      <c r="C15" s="12" t="s">
        <v>242</v>
      </c>
      <c r="D15" s="83">
        <f>F15/B15</f>
        <v>0.13368652535701653</v>
      </c>
      <c r="E15" s="18"/>
      <c r="F15" s="175">
        <f>'Table 3.15-Route UAA NoPARS'!J101</f>
        <v>4519.571066850505</v>
      </c>
      <c r="G15" s="12" t="s">
        <v>242</v>
      </c>
      <c r="H15" s="142">
        <f>B15/$B$20</f>
        <v>0.01582182137153555</v>
      </c>
      <c r="I15" s="18"/>
      <c r="J15" s="552">
        <f>D15*H15</f>
        <v>0.002115164323979973</v>
      </c>
    </row>
    <row r="16" spans="1:10" ht="12.75">
      <c r="A16" s="353" t="s">
        <v>309</v>
      </c>
      <c r="B16" s="6">
        <v>0</v>
      </c>
      <c r="C16" s="12" t="s">
        <v>241</v>
      </c>
      <c r="D16" s="83">
        <v>0</v>
      </c>
      <c r="E16" s="18"/>
      <c r="F16" s="175">
        <v>0</v>
      </c>
      <c r="G16" s="12" t="s">
        <v>241</v>
      </c>
      <c r="H16" s="142">
        <f>B16/$B$20</f>
        <v>0</v>
      </c>
      <c r="I16" s="18"/>
      <c r="J16" s="552">
        <f>D16*H16</f>
        <v>0</v>
      </c>
    </row>
    <row r="17" spans="1:10" ht="12.75">
      <c r="A17" s="82" t="s">
        <v>96</v>
      </c>
      <c r="B17" s="6">
        <f>'Table 3.20-CFS Non-CIOSS'!B76</f>
        <v>33807.229672405396</v>
      </c>
      <c r="C17" s="12" t="s">
        <v>243</v>
      </c>
      <c r="D17" s="83">
        <f>F17/B17</f>
        <v>0.022721462540839683</v>
      </c>
      <c r="E17" s="18"/>
      <c r="F17" s="175">
        <f>'Table 3.20-CFS Non-CIOSS'!H76</f>
        <v>768.1497026111231</v>
      </c>
      <c r="G17" s="12" t="s">
        <v>243</v>
      </c>
      <c r="H17" s="142">
        <f>B17/$B$20</f>
        <v>0.01582182137153555</v>
      </c>
      <c r="I17" s="18"/>
      <c r="J17" s="552">
        <f>D17*H17</f>
        <v>0.0003594949216212017</v>
      </c>
    </row>
    <row r="18" spans="1:10" ht="12.75">
      <c r="A18" s="100" t="s">
        <v>102</v>
      </c>
      <c r="B18" s="6">
        <f>B15</f>
        <v>33807.229672405396</v>
      </c>
      <c r="D18" s="83">
        <f>F18/B18</f>
        <v>0.1564079878978562</v>
      </c>
      <c r="E18" s="18"/>
      <c r="F18" s="113">
        <f>SUM(F15:F17)</f>
        <v>5287.720769461628</v>
      </c>
      <c r="G18" s="18"/>
      <c r="H18" s="355"/>
      <c r="I18" s="18"/>
      <c r="J18" s="552">
        <f>SUM(J15:J17)</f>
        <v>0.002474659245601175</v>
      </c>
    </row>
    <row r="19" spans="1:10" ht="4.5" customHeight="1">
      <c r="A19" s="343"/>
      <c r="B19" s="324"/>
      <c r="C19" s="481"/>
      <c r="D19" s="18"/>
      <c r="E19" s="18"/>
      <c r="F19" s="113"/>
      <c r="G19" s="18"/>
      <c r="H19" s="355"/>
      <c r="I19" s="18"/>
      <c r="J19" s="18"/>
    </row>
    <row r="20" spans="1:10" ht="12.75">
      <c r="A20" s="91" t="s">
        <v>494</v>
      </c>
      <c r="B20" s="393">
        <f>SUM(B7,B12,B18)</f>
        <v>2136747.0203668666</v>
      </c>
      <c r="C20" s="18"/>
      <c r="D20" s="83"/>
      <c r="E20" s="18"/>
      <c r="F20" s="554">
        <f>SUM(F7,F12,F18)</f>
        <v>130022.48316081504</v>
      </c>
      <c r="G20" s="18"/>
      <c r="H20" s="355"/>
      <c r="I20" s="18"/>
      <c r="J20" s="555">
        <f>SUM(J7,J12,J18)</f>
        <v>0.06085066782425697</v>
      </c>
    </row>
    <row r="21" spans="1:10" ht="12.75" hidden="1">
      <c r="A21" s="5"/>
      <c r="B21" s="240"/>
      <c r="F21" s="359"/>
      <c r="H21" s="6"/>
      <c r="J21" s="6"/>
    </row>
    <row r="22" spans="1:11" ht="12.75" hidden="1">
      <c r="A22" s="23" t="s">
        <v>191</v>
      </c>
      <c r="B22" s="484"/>
      <c r="G22" s="482" t="s">
        <v>311</v>
      </c>
      <c r="H22" s="6">
        <f>SUM('Table 3.15-Route UAA NoPARS'!J101,'Table 3.15-Route UAA NoPARS'!J108,'Table 3.15-Route UAA NoPARS'!J111)+'Table 3.16-Route UAA PARS'!J111</f>
        <v>77150.47912512509</v>
      </c>
      <c r="J22" s="6">
        <f>SUM(F5,F10,F15)</f>
        <v>77150.47912512509</v>
      </c>
      <c r="K22" s="143">
        <f>H22-J22</f>
        <v>0</v>
      </c>
    </row>
    <row r="23" spans="1:11" ht="12.75" hidden="1">
      <c r="A23" s="5"/>
      <c r="B23" s="484"/>
      <c r="G23" s="46" t="s">
        <v>312</v>
      </c>
      <c r="H23" s="6">
        <f>SUM('Table 3.18-Nixie UAA'!I20,'Table 3.18-Nixie UAA'!I29)</f>
        <v>39225.697541378635</v>
      </c>
      <c r="J23" s="6">
        <f>SUM(F6,F16)</f>
        <v>39225.697541378635</v>
      </c>
      <c r="K23" s="143">
        <f>H23-J23</f>
        <v>0</v>
      </c>
    </row>
    <row r="24" spans="1:11" ht="12.75" hidden="1">
      <c r="A24" s="5"/>
      <c r="B24" s="484"/>
      <c r="G24" s="46" t="s">
        <v>313</v>
      </c>
      <c r="H24" s="6">
        <f>SUM('Table 3.20-CFS Non-CIOSS'!H19,'Table 3.20-CFS Non-CIOSS'!H76)</f>
        <v>13646.306494311315</v>
      </c>
      <c r="J24" s="6">
        <f>SUM(F11,F17)</f>
        <v>13646.306494311315</v>
      </c>
      <c r="K24" s="143">
        <f>H24-J24</f>
        <v>0</v>
      </c>
    </row>
    <row r="25" spans="1:11" ht="12.75" hidden="1">
      <c r="A25" s="5"/>
      <c r="B25" s="484"/>
      <c r="G25" s="46" t="s">
        <v>314</v>
      </c>
      <c r="H25" s="6">
        <f>SUM(H22:H24)</f>
        <v>130022.48316081503</v>
      </c>
      <c r="J25" s="6">
        <f>SUM(J22:J24)</f>
        <v>130022.48316081503</v>
      </c>
      <c r="K25" s="143">
        <f>H25-J25</f>
        <v>0</v>
      </c>
    </row>
    <row r="26" spans="1:8" ht="12.75">
      <c r="A26" s="283"/>
      <c r="B26" s="283"/>
      <c r="C26" s="283"/>
      <c r="D26" s="283"/>
      <c r="E26" s="283"/>
      <c r="F26" s="283"/>
      <c r="H26" s="240"/>
    </row>
    <row r="27" ht="12.75">
      <c r="A27" s="284" t="s">
        <v>235</v>
      </c>
    </row>
    <row r="28" spans="1:5" ht="12.75">
      <c r="A28" s="241" t="s">
        <v>83</v>
      </c>
      <c r="D28" s="12"/>
      <c r="E28" s="241" t="s">
        <v>600</v>
      </c>
    </row>
    <row r="29" spans="1:5" ht="12.75">
      <c r="A29" s="241" t="s">
        <v>84</v>
      </c>
      <c r="D29" s="12"/>
      <c r="E29" s="241" t="s">
        <v>86</v>
      </c>
    </row>
    <row r="30" spans="1:5" ht="12.75">
      <c r="A30" s="241" t="s">
        <v>35</v>
      </c>
      <c r="D30" s="12"/>
      <c r="E30" s="241" t="s">
        <v>601</v>
      </c>
    </row>
    <row r="31" ht="12.75">
      <c r="A31" s="241" t="s">
        <v>85</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sheetPr codeName="Sheet44"/>
  <dimension ref="A1:T86"/>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554</v>
      </c>
    </row>
    <row r="2" ht="15.75">
      <c r="A2" s="158" t="s">
        <v>787</v>
      </c>
    </row>
    <row r="3" ht="4.5" customHeight="1">
      <c r="A3" s="454"/>
    </row>
    <row r="4" spans="1:3" ht="15.75">
      <c r="A4" s="158" t="s">
        <v>746</v>
      </c>
      <c r="B4" s="45"/>
      <c r="C4" s="45"/>
    </row>
    <row r="5" spans="1:16" ht="25.5">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6" ht="12.75">
      <c r="A6" s="89" t="s">
        <v>747</v>
      </c>
      <c r="B6" s="574">
        <v>0</v>
      </c>
      <c r="C6" s="571" t="s">
        <v>238</v>
      </c>
      <c r="D6" s="54">
        <v>2.6423191141485964</v>
      </c>
      <c r="E6" s="54"/>
      <c r="F6" s="180">
        <f>B6*D6</f>
        <v>0</v>
      </c>
      <c r="G6" s="180"/>
      <c r="H6" s="458">
        <f>'Table 3.38-Form 3547 Dist'!H8</f>
        <v>36946.60875018747</v>
      </c>
      <c r="I6" s="575" t="s">
        <v>241</v>
      </c>
      <c r="J6" s="576">
        <f>H6/$H$6</f>
        <v>1</v>
      </c>
      <c r="K6" s="576"/>
      <c r="L6" s="180">
        <f>J6*F6</f>
        <v>0</v>
      </c>
      <c r="M6" s="342"/>
      <c r="N6" s="342"/>
      <c r="O6" s="342"/>
      <c r="P6" s="342"/>
    </row>
    <row r="7" spans="1:18" ht="12.75">
      <c r="A7" s="21" t="s">
        <v>142</v>
      </c>
      <c r="B7" s="574">
        <f>'Table 3.40-Form Processing'!B5</f>
        <v>0.03971647604953023</v>
      </c>
      <c r="C7" s="571" t="s">
        <v>239</v>
      </c>
      <c r="D7" s="54">
        <v>1.7618940786298556</v>
      </c>
      <c r="E7" s="54"/>
      <c r="F7" s="180">
        <f>B7*D7</f>
        <v>0.0699762239757118</v>
      </c>
      <c r="G7" s="180"/>
      <c r="H7" s="458">
        <f>H6</f>
        <v>36946.60875018747</v>
      </c>
      <c r="I7" s="575" t="s">
        <v>242</v>
      </c>
      <c r="J7" s="576">
        <f>H7/$H$6</f>
        <v>1</v>
      </c>
      <c r="K7" s="571"/>
      <c r="L7" s="180">
        <f>J7*F7</f>
        <v>0.0699762239757118</v>
      </c>
      <c r="M7" s="342"/>
      <c r="N7" s="342"/>
      <c r="O7" s="342"/>
      <c r="P7" s="342"/>
      <c r="R7" s="63"/>
    </row>
    <row r="8" spans="1:16" ht="12.75">
      <c r="A8" s="21" t="s">
        <v>143</v>
      </c>
      <c r="B8" s="574">
        <v>0.19241430076130997</v>
      </c>
      <c r="C8" s="571" t="s">
        <v>240</v>
      </c>
      <c r="D8" s="54">
        <v>3.2543215200593516</v>
      </c>
      <c r="E8" s="54"/>
      <c r="F8" s="180">
        <f>B8*D8</f>
        <v>0.6261779997347036</v>
      </c>
      <c r="G8" s="180"/>
      <c r="H8" s="458">
        <f>H7</f>
        <v>36946.60875018747</v>
      </c>
      <c r="I8" s="575"/>
      <c r="J8" s="576">
        <f>H8/$H$6</f>
        <v>1</v>
      </c>
      <c r="K8" s="576"/>
      <c r="L8" s="180">
        <f>J8*F8</f>
        <v>0.6261779997347036</v>
      </c>
      <c r="M8" s="342"/>
      <c r="N8" s="342"/>
      <c r="O8" s="342"/>
      <c r="P8" s="342"/>
    </row>
    <row r="9" spans="1:16" ht="12.75">
      <c r="A9" s="21" t="s">
        <v>144</v>
      </c>
      <c r="B9" s="574">
        <v>0.023169435334809526</v>
      </c>
      <c r="C9" s="571" t="s">
        <v>240</v>
      </c>
      <c r="D9" s="54">
        <v>1.37715102157782</v>
      </c>
      <c r="E9" s="54"/>
      <c r="F9" s="180">
        <f>B9*D9</f>
        <v>0.031907811540714176</v>
      </c>
      <c r="G9" s="180"/>
      <c r="H9" s="458">
        <f>H8</f>
        <v>36946.60875018747</v>
      </c>
      <c r="I9" s="575"/>
      <c r="J9" s="576">
        <f>H9/$H$6</f>
        <v>1</v>
      </c>
      <c r="K9" s="576"/>
      <c r="L9" s="180">
        <f>J9*F9</f>
        <v>0.031907811540714176</v>
      </c>
      <c r="M9" s="342"/>
      <c r="N9" s="342"/>
      <c r="O9" s="342"/>
      <c r="P9" s="342"/>
    </row>
    <row r="10" spans="1:17" ht="12.75">
      <c r="A10" s="25" t="s">
        <v>146</v>
      </c>
      <c r="B10" s="488"/>
      <c r="C10" s="488"/>
      <c r="D10" s="342"/>
      <c r="E10" s="342"/>
      <c r="F10" s="488"/>
      <c r="G10" s="488"/>
      <c r="H10" s="577"/>
      <c r="I10" s="488"/>
      <c r="J10" s="576"/>
      <c r="K10" s="576"/>
      <c r="L10" s="180">
        <f>SUM(L6:L9)</f>
        <v>0.7280620352511296</v>
      </c>
      <c r="M10" s="342"/>
      <c r="N10" s="203">
        <f>'Table 3.38-Form 3547 Dist'!I8</f>
        <v>0.7133559665496123</v>
      </c>
      <c r="O10" s="575" t="s">
        <v>241</v>
      </c>
      <c r="P10" s="180">
        <f>N10*L10</f>
        <v>0.5193673968646474</v>
      </c>
      <c r="Q10" s="53"/>
    </row>
    <row r="11" spans="2:16" ht="12.75">
      <c r="B11" s="574"/>
      <c r="C11" s="574"/>
      <c r="D11" s="342"/>
      <c r="E11" s="342"/>
      <c r="F11" s="180"/>
      <c r="G11" s="180"/>
      <c r="H11" s="578"/>
      <c r="I11" s="180"/>
      <c r="J11" s="342"/>
      <c r="K11" s="342"/>
      <c r="L11" s="342"/>
      <c r="M11" s="342"/>
      <c r="N11" s="203"/>
      <c r="O11" s="203"/>
      <c r="P11" s="342"/>
    </row>
    <row r="12" spans="1:16" ht="12.75">
      <c r="A12" s="15" t="s">
        <v>340</v>
      </c>
      <c r="B12" s="574"/>
      <c r="C12" s="574"/>
      <c r="D12" s="342"/>
      <c r="E12" s="342"/>
      <c r="F12" s="180"/>
      <c r="G12" s="180"/>
      <c r="H12" s="578"/>
      <c r="I12" s="180"/>
      <c r="J12" s="342"/>
      <c r="K12" s="342"/>
      <c r="L12" s="342"/>
      <c r="M12" s="342"/>
      <c r="N12" s="342"/>
      <c r="O12" s="342"/>
      <c r="P12" s="342"/>
    </row>
    <row r="13" spans="1:16" ht="12.75">
      <c r="A13" s="89" t="s">
        <v>747</v>
      </c>
      <c r="B13" s="574">
        <v>0</v>
      </c>
      <c r="C13" s="571" t="s">
        <v>238</v>
      </c>
      <c r="D13" s="54">
        <v>2.6423191141485964</v>
      </c>
      <c r="E13" s="54"/>
      <c r="F13" s="180">
        <f>B13*D13</f>
        <v>0</v>
      </c>
      <c r="G13" s="180"/>
      <c r="H13" s="458">
        <f>'Table 3.38-Form 3547 Dist'!H9</f>
        <v>2901.5340126427927</v>
      </c>
      <c r="I13" s="575" t="s">
        <v>241</v>
      </c>
      <c r="J13" s="576">
        <f>H13/$H$13</f>
        <v>1</v>
      </c>
      <c r="K13" s="576"/>
      <c r="L13" s="180">
        <f>J13*F13</f>
        <v>0</v>
      </c>
      <c r="M13" s="342"/>
      <c r="N13" s="342"/>
      <c r="O13" s="342"/>
      <c r="P13" s="342"/>
    </row>
    <row r="14" spans="1:18" ht="12.75">
      <c r="A14" s="21" t="s">
        <v>142</v>
      </c>
      <c r="B14" s="574">
        <f>'Table 3.40-Form Processing'!B5</f>
        <v>0.03971647604953023</v>
      </c>
      <c r="C14" s="571" t="s">
        <v>239</v>
      </c>
      <c r="D14" s="54">
        <v>1.7618940786298556</v>
      </c>
      <c r="E14" s="54"/>
      <c r="F14" s="180">
        <f>B14*D14</f>
        <v>0.0699762239757118</v>
      </c>
      <c r="G14" s="180"/>
      <c r="H14" s="458">
        <f>H13</f>
        <v>2901.5340126427927</v>
      </c>
      <c r="I14" s="575" t="s">
        <v>242</v>
      </c>
      <c r="J14" s="576">
        <f>H14/$H$13</f>
        <v>1</v>
      </c>
      <c r="K14" s="571"/>
      <c r="L14" s="180">
        <f>J14*F14</f>
        <v>0.0699762239757118</v>
      </c>
      <c r="M14" s="342"/>
      <c r="N14" s="342"/>
      <c r="O14" s="342"/>
      <c r="P14" s="342"/>
      <c r="R14" s="63"/>
    </row>
    <row r="15" spans="1:16" ht="12.75" customHeight="1">
      <c r="A15" s="21" t="s">
        <v>143</v>
      </c>
      <c r="B15" s="574">
        <v>0.19241430076130997</v>
      </c>
      <c r="C15" s="571" t="s">
        <v>240</v>
      </c>
      <c r="D15" s="54">
        <v>3.2543215200593516</v>
      </c>
      <c r="E15" s="54"/>
      <c r="F15" s="180">
        <f>B15*D15</f>
        <v>0.6261779997347036</v>
      </c>
      <c r="G15" s="180"/>
      <c r="H15" s="458">
        <f>H14</f>
        <v>2901.5340126427927</v>
      </c>
      <c r="I15" s="575"/>
      <c r="J15" s="576">
        <f>H15/$H$13</f>
        <v>1</v>
      </c>
      <c r="K15" s="576"/>
      <c r="L15" s="180">
        <f>J15*F15</f>
        <v>0.6261779997347036</v>
      </c>
      <c r="M15" s="342"/>
      <c r="N15" s="342"/>
      <c r="O15" s="342"/>
      <c r="P15" s="342"/>
    </row>
    <row r="16" spans="1:16" ht="12.75">
      <c r="A16" s="21" t="s">
        <v>144</v>
      </c>
      <c r="B16" s="574">
        <v>0.023169435334809526</v>
      </c>
      <c r="C16" s="571" t="s">
        <v>240</v>
      </c>
      <c r="D16" s="54">
        <v>1.37715102157782</v>
      </c>
      <c r="E16" s="54"/>
      <c r="F16" s="180">
        <f>B16*D16</f>
        <v>0.031907811540714176</v>
      </c>
      <c r="G16" s="180"/>
      <c r="H16" s="458">
        <f>H15</f>
        <v>2901.5340126427927</v>
      </c>
      <c r="I16" s="575"/>
      <c r="J16" s="576">
        <f>H16/$H$13</f>
        <v>1</v>
      </c>
      <c r="K16" s="576"/>
      <c r="L16" s="180">
        <f>J16*F16</f>
        <v>0.031907811540714176</v>
      </c>
      <c r="M16" s="342"/>
      <c r="N16" s="342"/>
      <c r="O16" s="342"/>
      <c r="P16" s="342"/>
    </row>
    <row r="17" spans="1:17" ht="12.75">
      <c r="A17" s="24" t="s">
        <v>145</v>
      </c>
      <c r="B17" s="488"/>
      <c r="C17" s="488"/>
      <c r="D17" s="342"/>
      <c r="E17" s="342"/>
      <c r="F17" s="488"/>
      <c r="G17" s="488"/>
      <c r="H17" s="577"/>
      <c r="I17" s="488"/>
      <c r="J17" s="342"/>
      <c r="K17" s="342"/>
      <c r="L17" s="180">
        <f>SUM(L13:L16)</f>
        <v>0.7280620352511296</v>
      </c>
      <c r="M17" s="342"/>
      <c r="N17" s="203">
        <f>'Table 3.38-Form 3547 Dist'!I9</f>
        <v>0.056022099729379674</v>
      </c>
      <c r="O17" s="575" t="s">
        <v>241</v>
      </c>
      <c r="P17" s="180">
        <f>N17*L17</f>
        <v>0.040787563948013916</v>
      </c>
      <c r="Q17" s="53"/>
    </row>
    <row r="18" spans="1:16" ht="12.75">
      <c r="A18" s="24"/>
      <c r="B18" s="488"/>
      <c r="C18" s="488"/>
      <c r="D18" s="342"/>
      <c r="E18" s="342"/>
      <c r="F18" s="488"/>
      <c r="G18" s="488"/>
      <c r="H18" s="577"/>
      <c r="I18" s="488"/>
      <c r="J18" s="342"/>
      <c r="K18" s="342"/>
      <c r="L18" s="180"/>
      <c r="M18" s="342"/>
      <c r="N18" s="203"/>
      <c r="O18" s="575"/>
      <c r="P18" s="180"/>
    </row>
    <row r="19" spans="1:17" ht="12.75">
      <c r="A19" s="15" t="s">
        <v>341</v>
      </c>
      <c r="B19" s="488"/>
      <c r="C19" s="488"/>
      <c r="D19" s="342"/>
      <c r="E19" s="342"/>
      <c r="F19" s="180">
        <v>0</v>
      </c>
      <c r="G19" s="488"/>
      <c r="H19" s="579">
        <f>'Table 3.38-Form 3547 Dist'!H7</f>
        <v>11944.525249595932</v>
      </c>
      <c r="I19" s="575" t="s">
        <v>241</v>
      </c>
      <c r="J19" s="576">
        <f>H19/$H$19</f>
        <v>1</v>
      </c>
      <c r="K19" s="342"/>
      <c r="L19" s="180">
        <v>0</v>
      </c>
      <c r="M19" s="342"/>
      <c r="N19" s="203">
        <f>'Table 3.38-Form 3547 Dist'!I7</f>
        <v>0.23062193372100814</v>
      </c>
      <c r="O19" s="575" t="s">
        <v>241</v>
      </c>
      <c r="P19" s="180">
        <f>N19*L19</f>
        <v>0</v>
      </c>
      <c r="Q19" s="86"/>
    </row>
    <row r="20" spans="1:16" ht="12.75">
      <c r="A20" s="48"/>
      <c r="B20" s="574"/>
      <c r="C20" s="574"/>
      <c r="D20" s="342"/>
      <c r="E20" s="342"/>
      <c r="F20" s="180"/>
      <c r="G20" s="180"/>
      <c r="H20" s="180"/>
      <c r="I20" s="180"/>
      <c r="J20" s="580"/>
      <c r="K20" s="580"/>
      <c r="L20" s="342"/>
      <c r="M20" s="342"/>
      <c r="N20" s="342"/>
      <c r="O20" s="342"/>
      <c r="P20" s="342"/>
    </row>
    <row r="21" spans="2:18" ht="12.75">
      <c r="B21" s="574"/>
      <c r="C21" s="574"/>
      <c r="D21" s="342"/>
      <c r="E21" s="342"/>
      <c r="F21" s="180"/>
      <c r="G21" s="180"/>
      <c r="H21" s="180"/>
      <c r="I21" s="180"/>
      <c r="J21" s="342"/>
      <c r="K21" s="342"/>
      <c r="L21" s="342"/>
      <c r="M21" s="342"/>
      <c r="N21" s="342"/>
      <c r="O21" s="581" t="s">
        <v>453</v>
      </c>
      <c r="P21" s="553">
        <f>P17+P10+P19</f>
        <v>0.5601549608126613</v>
      </c>
      <c r="Q21" s="63"/>
      <c r="R21" s="63"/>
    </row>
    <row r="22" spans="1:17" ht="12.75">
      <c r="A22" s="15"/>
      <c r="B22" s="574"/>
      <c r="C22" s="574"/>
      <c r="D22" s="342"/>
      <c r="E22" s="342"/>
      <c r="F22" s="180"/>
      <c r="G22" s="180"/>
      <c r="H22" s="180"/>
      <c r="I22" s="180"/>
      <c r="J22" s="342"/>
      <c r="K22" s="342"/>
      <c r="L22" s="342"/>
      <c r="M22" s="342"/>
      <c r="N22" s="342"/>
      <c r="O22" s="342"/>
      <c r="P22" s="180"/>
      <c r="Q22" s="63"/>
    </row>
    <row r="23" spans="1:17" ht="15">
      <c r="A23" s="158" t="s">
        <v>759</v>
      </c>
      <c r="B23" s="574"/>
      <c r="C23" s="574"/>
      <c r="D23" s="342"/>
      <c r="E23" s="342"/>
      <c r="F23" s="180"/>
      <c r="G23" s="180"/>
      <c r="H23" s="180"/>
      <c r="I23" s="180"/>
      <c r="J23" s="342"/>
      <c r="K23" s="342"/>
      <c r="L23" s="342"/>
      <c r="M23" s="342"/>
      <c r="N23" s="342"/>
      <c r="O23" s="342"/>
      <c r="P23" s="180"/>
      <c r="Q23" s="63"/>
    </row>
    <row r="24" spans="1:17" ht="15">
      <c r="A24" s="158" t="s">
        <v>787</v>
      </c>
      <c r="B24" s="574"/>
      <c r="C24" s="574"/>
      <c r="D24" s="342"/>
      <c r="E24" s="342"/>
      <c r="F24" s="180"/>
      <c r="G24" s="140"/>
      <c r="H24" s="140"/>
      <c r="I24" s="180"/>
      <c r="J24" s="342"/>
      <c r="K24" s="342"/>
      <c r="L24" s="342"/>
      <c r="M24" s="342"/>
      <c r="N24" s="342"/>
      <c r="O24" s="342"/>
      <c r="P24" s="180"/>
      <c r="Q24" s="63"/>
    </row>
    <row r="25" spans="1:17" ht="4.5" customHeight="1">
      <c r="A25" s="15"/>
      <c r="B25" s="574"/>
      <c r="C25" s="574"/>
      <c r="D25" s="342"/>
      <c r="E25" s="342"/>
      <c r="F25" s="180"/>
      <c r="G25" s="180"/>
      <c r="H25" s="180"/>
      <c r="I25" s="180"/>
      <c r="J25" s="342"/>
      <c r="K25" s="342"/>
      <c r="L25" s="342"/>
      <c r="M25" s="342"/>
      <c r="N25" s="342"/>
      <c r="O25" s="342"/>
      <c r="P25" s="180"/>
      <c r="Q25" s="63"/>
    </row>
    <row r="26" spans="1:17" ht="15">
      <c r="A26" s="158" t="s">
        <v>748</v>
      </c>
      <c r="B26" s="582"/>
      <c r="C26" s="582"/>
      <c r="D26" s="140"/>
      <c r="E26" s="140"/>
      <c r="F26" s="140"/>
      <c r="G26" s="140"/>
      <c r="H26" s="140"/>
      <c r="I26" s="140"/>
      <c r="J26" s="140"/>
      <c r="K26" s="140"/>
      <c r="L26" s="140"/>
      <c r="M26" s="140"/>
      <c r="N26" s="140"/>
      <c r="O26" s="140"/>
      <c r="P26" s="140"/>
      <c r="Q26" s="63"/>
    </row>
    <row r="27" spans="1:17" ht="25.5">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ht="12.75">
      <c r="A28" s="89" t="s">
        <v>141</v>
      </c>
      <c r="B28" s="574">
        <v>0.09465899174754303</v>
      </c>
      <c r="C28" s="571" t="s">
        <v>243</v>
      </c>
      <c r="D28" s="54">
        <v>1.7618940786298556</v>
      </c>
      <c r="E28" s="54"/>
      <c r="F28" s="180">
        <f>B28*D28</f>
        <v>0.16677911704906842</v>
      </c>
      <c r="G28" s="180"/>
      <c r="H28" s="458">
        <f>'Table 3.38-Form 3547 Dist'!B17</f>
        <v>4146.874283616233</v>
      </c>
      <c r="I28" s="575" t="s">
        <v>241</v>
      </c>
      <c r="J28" s="576">
        <f>H28/SUM($H$28:$H$29)</f>
        <v>0.9166327525537414</v>
      </c>
      <c r="K28" s="576"/>
      <c r="L28" s="180">
        <f>J28*F28</f>
        <v>0.15287520112917022</v>
      </c>
      <c r="M28" s="342"/>
      <c r="N28" s="342"/>
      <c r="O28" s="342"/>
      <c r="P28" s="342"/>
      <c r="Q28" s="63"/>
      <c r="R28" s="63"/>
    </row>
    <row r="29" spans="1:18" ht="12.75">
      <c r="A29" s="21" t="s">
        <v>749</v>
      </c>
      <c r="B29" s="574">
        <v>0.12338432958499074</v>
      </c>
      <c r="C29" s="575" t="s">
        <v>244</v>
      </c>
      <c r="D29" s="54">
        <v>1.5205589342948984</v>
      </c>
      <c r="E29" s="54"/>
      <c r="F29" s="180">
        <f>B29*D29</f>
        <v>0.18761314470244403</v>
      </c>
      <c r="G29" s="180"/>
      <c r="H29" s="458">
        <f>'Table 3.38-Form 3547 Dist'!E17</f>
        <v>377.15594775290515</v>
      </c>
      <c r="I29" s="575" t="s">
        <v>241</v>
      </c>
      <c r="J29" s="576">
        <f>H29/SUM($H$28:$H$29)</f>
        <v>0.08336724744625852</v>
      </c>
      <c r="K29" s="576"/>
      <c r="L29" s="180">
        <f>J29*F29</f>
        <v>0.015640791458579356</v>
      </c>
      <c r="M29" s="342"/>
      <c r="N29" s="342"/>
      <c r="O29" s="342"/>
      <c r="P29" s="342"/>
      <c r="Q29" s="63"/>
      <c r="R29" s="63"/>
    </row>
    <row r="30" spans="1:18" ht="12.75">
      <c r="A30" s="89" t="s">
        <v>750</v>
      </c>
      <c r="B30" s="574">
        <f>'Table 3.40-Form Processing'!B4</f>
        <v>0.05747047125199172</v>
      </c>
      <c r="C30" s="571" t="s">
        <v>239</v>
      </c>
      <c r="D30" s="54">
        <v>1.7618940786298556</v>
      </c>
      <c r="E30" s="54"/>
      <c r="F30" s="180">
        <f>B30*D30</f>
        <v>0.10125688299495156</v>
      </c>
      <c r="G30" s="180"/>
      <c r="H30" s="458">
        <f>SUM(H28:H29)/'Table 3.40-Form Processing'!$D$4</f>
        <v>4366.791306347974</v>
      </c>
      <c r="I30" s="575" t="s">
        <v>582</v>
      </c>
      <c r="J30" s="576">
        <f>'Table 3.40-Form Processing'!D4^-1</f>
        <v>0.9652436175313581</v>
      </c>
      <c r="K30" s="571" t="s">
        <v>239</v>
      </c>
      <c r="L30" s="180">
        <f>J30*F30</f>
        <v>0.0977375600419965</v>
      </c>
      <c r="M30" s="342"/>
      <c r="N30" s="342"/>
      <c r="O30" s="342"/>
      <c r="P30" s="342"/>
      <c r="Q30" s="572"/>
      <c r="R30" s="63"/>
    </row>
    <row r="31" spans="1:18" ht="12.75">
      <c r="A31" s="89" t="s">
        <v>751</v>
      </c>
      <c r="B31" s="574">
        <v>0.3865231975792825</v>
      </c>
      <c r="C31" s="571" t="s">
        <v>240</v>
      </c>
      <c r="D31" s="54">
        <v>3.2543215200593516</v>
      </c>
      <c r="E31" s="54"/>
      <c r="F31" s="180">
        <f>B31*D31</f>
        <v>1.2578707598844117</v>
      </c>
      <c r="G31" s="180"/>
      <c r="H31" s="458">
        <f>H30</f>
        <v>4366.791306347974</v>
      </c>
      <c r="I31" s="575"/>
      <c r="J31" s="576">
        <f>J30</f>
        <v>0.9652436175313581</v>
      </c>
      <c r="K31" s="576"/>
      <c r="L31" s="180">
        <f>J31*F31</f>
        <v>1.2141517226577478</v>
      </c>
      <c r="M31" s="342"/>
      <c r="N31" s="342"/>
      <c r="O31" s="342"/>
      <c r="P31" s="342"/>
      <c r="Q31" s="63"/>
      <c r="R31" s="63"/>
    </row>
    <row r="32" spans="1:18" ht="12.75">
      <c r="A32" s="89" t="s">
        <v>752</v>
      </c>
      <c r="B32" s="574">
        <v>0.023169435334809526</v>
      </c>
      <c r="C32" s="571" t="s">
        <v>240</v>
      </c>
      <c r="D32" s="54">
        <v>1.37715102157782</v>
      </c>
      <c r="E32" s="54"/>
      <c r="F32" s="180">
        <f>B32*D32</f>
        <v>0.031907811540714176</v>
      </c>
      <c r="G32" s="180"/>
      <c r="H32" s="458">
        <f>H31</f>
        <v>4366.791306347974</v>
      </c>
      <c r="I32" s="575"/>
      <c r="J32" s="576">
        <f>J31</f>
        <v>0.9652436175313581</v>
      </c>
      <c r="K32" s="576"/>
      <c r="L32" s="180">
        <f>J32*F32</f>
        <v>0.03079881143906777</v>
      </c>
      <c r="M32" s="342"/>
      <c r="N32" s="342"/>
      <c r="O32" s="342"/>
      <c r="P32" s="342"/>
      <c r="Q32" s="63"/>
      <c r="R32" s="63"/>
    </row>
    <row r="33" spans="1:17" ht="12.75">
      <c r="A33" s="25" t="s">
        <v>146</v>
      </c>
      <c r="B33" s="488"/>
      <c r="C33" s="488"/>
      <c r="D33" s="342"/>
      <c r="E33" s="342"/>
      <c r="F33" s="488"/>
      <c r="G33" s="488"/>
      <c r="H33" s="488"/>
      <c r="I33" s="488"/>
      <c r="J33" s="576"/>
      <c r="K33" s="576"/>
      <c r="L33" s="180">
        <f>SUM(L28:L32)</f>
        <v>1.5112040867265617</v>
      </c>
      <c r="M33" s="342"/>
      <c r="N33" s="203">
        <f>'Table 3.38-Form 3547 Dist'!I17</f>
        <v>0.5530084943148026</v>
      </c>
      <c r="O33" s="575" t="s">
        <v>241</v>
      </c>
      <c r="P33" s="180">
        <f>N33*L33</f>
        <v>0.8357086966030323</v>
      </c>
      <c r="Q33" s="63"/>
    </row>
    <row r="34" spans="2:17" ht="12.75">
      <c r="B34" s="574"/>
      <c r="C34" s="574"/>
      <c r="D34" s="342"/>
      <c r="E34" s="342"/>
      <c r="F34" s="180"/>
      <c r="G34" s="180"/>
      <c r="H34" s="180"/>
      <c r="I34" s="180"/>
      <c r="J34" s="342"/>
      <c r="K34" s="342"/>
      <c r="L34" s="342"/>
      <c r="M34" s="342"/>
      <c r="N34" s="203"/>
      <c r="O34" s="203"/>
      <c r="P34" s="342"/>
      <c r="Q34" s="63"/>
    </row>
    <row r="35" spans="1:17" ht="12.75">
      <c r="A35" s="15" t="s">
        <v>340</v>
      </c>
      <c r="B35" s="574"/>
      <c r="C35" s="574"/>
      <c r="D35" s="342"/>
      <c r="E35" s="342"/>
      <c r="F35" s="180"/>
      <c r="G35" s="180"/>
      <c r="H35" s="180"/>
      <c r="I35" s="180"/>
      <c r="J35" s="342"/>
      <c r="K35" s="342"/>
      <c r="L35" s="342"/>
      <c r="M35" s="342"/>
      <c r="N35" s="342"/>
      <c r="O35" s="342"/>
      <c r="P35" s="342"/>
      <c r="Q35" s="63"/>
    </row>
    <row r="36" spans="1:18" ht="12.75">
      <c r="A36" s="89" t="s">
        <v>141</v>
      </c>
      <c r="B36" s="574">
        <v>0.09465899174754303</v>
      </c>
      <c r="C36" s="571" t="s">
        <v>243</v>
      </c>
      <c r="D36" s="54">
        <v>1.7618940786298556</v>
      </c>
      <c r="E36" s="54"/>
      <c r="F36" s="180">
        <f>B36*D36</f>
        <v>0.16677911704906842</v>
      </c>
      <c r="G36" s="180"/>
      <c r="H36" s="458">
        <f>'Table 3.38-Form 3547 Dist'!B18</f>
        <v>2301.481902409315</v>
      </c>
      <c r="I36" s="575" t="s">
        <v>241</v>
      </c>
      <c r="J36" s="576">
        <f>H36/SUM($H$36:$H$37)</f>
        <v>0.9166327525537415</v>
      </c>
      <c r="K36" s="576"/>
      <c r="L36" s="180">
        <f>J36*F36</f>
        <v>0.15287520112917022</v>
      </c>
      <c r="M36" s="342"/>
      <c r="N36" s="342"/>
      <c r="O36" s="342"/>
      <c r="P36" s="342"/>
      <c r="Q36" s="63"/>
      <c r="R36" s="63"/>
    </row>
    <row r="37" spans="1:18" ht="12.75">
      <c r="A37" s="21" t="s">
        <v>749</v>
      </c>
      <c r="B37" s="574">
        <v>0.12338432958499074</v>
      </c>
      <c r="C37" s="575" t="s">
        <v>244</v>
      </c>
      <c r="D37" s="54">
        <v>1.5205589342948984</v>
      </c>
      <c r="E37" s="54"/>
      <c r="F37" s="180">
        <f>B37*D37</f>
        <v>0.18761314470244403</v>
      </c>
      <c r="G37" s="180"/>
      <c r="H37" s="458">
        <f>'Table 3.38-Form 3547 Dist'!E18</f>
        <v>209.31852011255089</v>
      </c>
      <c r="I37" s="575" t="s">
        <v>241</v>
      </c>
      <c r="J37" s="576">
        <f>H37/SUM($H$36:$H$37)</f>
        <v>0.08336724744625855</v>
      </c>
      <c r="K37" s="576"/>
      <c r="L37" s="180">
        <f>J37*F37</f>
        <v>0.015640791458579363</v>
      </c>
      <c r="M37" s="342"/>
      <c r="N37" s="342"/>
      <c r="O37" s="342"/>
      <c r="P37" s="342"/>
      <c r="Q37" s="63"/>
      <c r="R37" s="63"/>
    </row>
    <row r="38" spans="1:18" ht="12.75">
      <c r="A38" s="89" t="s">
        <v>750</v>
      </c>
      <c r="B38" s="574">
        <f>'Table 3.40-Form Processing'!B4</f>
        <v>0.05747047125199172</v>
      </c>
      <c r="C38" s="571" t="s">
        <v>239</v>
      </c>
      <c r="D38" s="54">
        <v>1.7618940786298556</v>
      </c>
      <c r="E38" s="54"/>
      <c r="F38" s="180">
        <f>B38*D38</f>
        <v>0.10125688299495156</v>
      </c>
      <c r="G38" s="180"/>
      <c r="H38" s="458">
        <f>SUM(H36:H37)/'Table 3.40-Form Processing'!$D$4</f>
        <v>2423.534082734268</v>
      </c>
      <c r="I38" s="575" t="s">
        <v>582</v>
      </c>
      <c r="J38" s="576">
        <f>'Table 3.40-Form Processing'!D4^-1</f>
        <v>0.9652436175313581</v>
      </c>
      <c r="K38" s="571" t="s">
        <v>239</v>
      </c>
      <c r="L38" s="180">
        <f>J38*F38</f>
        <v>0.0977375600419965</v>
      </c>
      <c r="M38" s="342"/>
      <c r="N38" s="342"/>
      <c r="O38" s="342"/>
      <c r="P38" s="342"/>
      <c r="Q38" s="572"/>
      <c r="R38" s="63"/>
    </row>
    <row r="39" spans="1:18" ht="12.75">
      <c r="A39" s="89" t="s">
        <v>751</v>
      </c>
      <c r="B39" s="574">
        <v>0.3865231975792825</v>
      </c>
      <c r="C39" s="571" t="s">
        <v>240</v>
      </c>
      <c r="D39" s="54">
        <v>3.2543215200593516</v>
      </c>
      <c r="E39" s="54"/>
      <c r="F39" s="180">
        <f>B39*D39</f>
        <v>1.2578707598844117</v>
      </c>
      <c r="G39" s="180"/>
      <c r="H39" s="458">
        <f>H38</f>
        <v>2423.534082734268</v>
      </c>
      <c r="I39" s="180"/>
      <c r="J39" s="576">
        <f>J38</f>
        <v>0.9652436175313581</v>
      </c>
      <c r="K39" s="576"/>
      <c r="L39" s="180">
        <f>J39*F39</f>
        <v>1.2141517226577478</v>
      </c>
      <c r="M39" s="342"/>
      <c r="N39" s="342"/>
      <c r="O39" s="342"/>
      <c r="P39" s="342"/>
      <c r="Q39" s="63"/>
      <c r="R39" s="63"/>
    </row>
    <row r="40" spans="1:18" ht="12.75">
      <c r="A40" s="89" t="s">
        <v>752</v>
      </c>
      <c r="B40" s="574">
        <v>0.023169435334809526</v>
      </c>
      <c r="C40" s="571" t="s">
        <v>240</v>
      </c>
      <c r="D40" s="54">
        <v>1.37715102157782</v>
      </c>
      <c r="E40" s="54"/>
      <c r="F40" s="180">
        <f>B40*D40</f>
        <v>0.031907811540714176</v>
      </c>
      <c r="G40" s="180"/>
      <c r="H40" s="458">
        <f>H39</f>
        <v>2423.534082734268</v>
      </c>
      <c r="I40" s="180"/>
      <c r="J40" s="576">
        <f>J39</f>
        <v>0.9652436175313581</v>
      </c>
      <c r="K40" s="576"/>
      <c r="L40" s="180">
        <f>J40*F40</f>
        <v>0.03079881143906777</v>
      </c>
      <c r="M40" s="342"/>
      <c r="N40" s="342"/>
      <c r="O40" s="342"/>
      <c r="P40" s="342"/>
      <c r="Q40" s="63"/>
      <c r="R40" s="63"/>
    </row>
    <row r="41" spans="1:17" ht="12.75">
      <c r="A41" s="24" t="s">
        <v>145</v>
      </c>
      <c r="B41" s="488"/>
      <c r="C41" s="488"/>
      <c r="D41" s="342"/>
      <c r="E41" s="342"/>
      <c r="F41" s="488"/>
      <c r="G41" s="488"/>
      <c r="H41" s="488"/>
      <c r="I41" s="488"/>
      <c r="J41" s="342"/>
      <c r="K41" s="342"/>
      <c r="L41" s="180">
        <f>SUM(L36:L40)</f>
        <v>1.5112040867265617</v>
      </c>
      <c r="M41" s="342"/>
      <c r="N41" s="203">
        <f>'Table 3.38-Form 3547 Dist'!I18</f>
        <v>0.30691527027297905</v>
      </c>
      <c r="O41" s="575" t="s">
        <v>241</v>
      </c>
      <c r="P41" s="180">
        <f>N41*L41</f>
        <v>0.4638116107153131</v>
      </c>
      <c r="Q41" s="63"/>
    </row>
    <row r="42" spans="1:16" ht="12.75">
      <c r="A42" s="24"/>
      <c r="B42" s="488"/>
      <c r="C42" s="488"/>
      <c r="D42" s="342"/>
      <c r="E42" s="342"/>
      <c r="F42" s="488"/>
      <c r="G42" s="488"/>
      <c r="H42" s="488"/>
      <c r="I42" s="488"/>
      <c r="J42" s="342"/>
      <c r="K42" s="342"/>
      <c r="L42" s="180"/>
      <c r="M42" s="342"/>
      <c r="N42" s="203"/>
      <c r="O42" s="575"/>
      <c r="P42" s="180"/>
    </row>
    <row r="43" spans="1:16" ht="12.75">
      <c r="A43" s="15" t="s">
        <v>341</v>
      </c>
      <c r="B43" s="488"/>
      <c r="C43" s="488"/>
      <c r="D43" s="342"/>
      <c r="E43" s="342"/>
      <c r="F43" s="180">
        <v>0</v>
      </c>
      <c r="G43" s="488"/>
      <c r="H43" s="587">
        <f>'Table 3.38-Form 3547 Dist'!H16</f>
        <v>1145.9301804874522</v>
      </c>
      <c r="I43" s="575" t="s">
        <v>241</v>
      </c>
      <c r="J43" s="576">
        <f>H43/$H$43</f>
        <v>1</v>
      </c>
      <c r="K43" s="342"/>
      <c r="L43" s="180">
        <v>0</v>
      </c>
      <c r="M43" s="342"/>
      <c r="N43" s="203">
        <f>'Table 3.38-Form 3547 Dist'!I16</f>
        <v>0.1400762354122183</v>
      </c>
      <c r="O43" s="575" t="s">
        <v>241</v>
      </c>
      <c r="P43" s="180">
        <f>N43*L43</f>
        <v>0</v>
      </c>
    </row>
    <row r="44" spans="1:16" ht="12.75">
      <c r="A44" s="48"/>
      <c r="B44" s="574"/>
      <c r="C44" s="574"/>
      <c r="D44" s="342"/>
      <c r="E44" s="342"/>
      <c r="F44" s="180"/>
      <c r="G44" s="180"/>
      <c r="H44" s="180"/>
      <c r="I44" s="180"/>
      <c r="J44" s="580"/>
      <c r="K44" s="580"/>
      <c r="L44" s="342"/>
      <c r="M44" s="342"/>
      <c r="N44" s="342"/>
      <c r="O44" s="342"/>
      <c r="P44" s="342"/>
    </row>
    <row r="45" spans="2:16" ht="12.75">
      <c r="B45" s="574"/>
      <c r="C45" s="574"/>
      <c r="D45" s="342"/>
      <c r="E45" s="342"/>
      <c r="F45" s="180"/>
      <c r="G45" s="180"/>
      <c r="H45" s="180"/>
      <c r="I45" s="180"/>
      <c r="J45" s="342"/>
      <c r="K45" s="342"/>
      <c r="L45" s="342"/>
      <c r="M45" s="342"/>
      <c r="N45" s="342"/>
      <c r="O45" s="581" t="s">
        <v>753</v>
      </c>
      <c r="P45" s="553">
        <f>P41+P33+P43</f>
        <v>1.2995203073183454</v>
      </c>
    </row>
    <row r="46" spans="1:16" ht="12.75">
      <c r="A46" s="21"/>
      <c r="B46" s="574"/>
      <c r="C46" s="571"/>
      <c r="D46" s="54"/>
      <c r="E46" s="54"/>
      <c r="F46" s="180"/>
      <c r="G46" s="180"/>
      <c r="H46" s="197"/>
      <c r="I46" s="180"/>
      <c r="J46" s="576"/>
      <c r="K46" s="576"/>
      <c r="L46" s="180"/>
      <c r="M46" s="342"/>
      <c r="N46" s="342"/>
      <c r="O46" s="342"/>
      <c r="P46" s="342"/>
    </row>
    <row r="47" spans="1:16" ht="15">
      <c r="A47" s="158" t="s">
        <v>87</v>
      </c>
      <c r="B47" s="574"/>
      <c r="C47" s="574"/>
      <c r="D47" s="342"/>
      <c r="E47" s="342"/>
      <c r="F47" s="180"/>
      <c r="G47" s="180"/>
      <c r="H47" s="180"/>
      <c r="I47" s="180"/>
      <c r="J47" s="342"/>
      <c r="K47" s="342"/>
      <c r="L47" s="342"/>
      <c r="M47" s="342"/>
      <c r="N47" s="342"/>
      <c r="O47" s="342"/>
      <c r="P47" s="180"/>
    </row>
    <row r="48" spans="1:20" ht="15">
      <c r="A48" s="158" t="s">
        <v>787</v>
      </c>
      <c r="B48" s="574"/>
      <c r="C48" s="574"/>
      <c r="D48" s="342"/>
      <c r="E48" s="342"/>
      <c r="F48" s="180"/>
      <c r="G48" s="180"/>
      <c r="H48" s="180"/>
      <c r="I48" s="180"/>
      <c r="J48" s="342"/>
      <c r="K48" s="342"/>
      <c r="L48" s="342"/>
      <c r="M48" s="342"/>
      <c r="N48" s="342"/>
      <c r="O48" s="342"/>
      <c r="P48" s="180"/>
      <c r="S48" s="180"/>
      <c r="T48" s="180"/>
    </row>
    <row r="49" spans="1:16" ht="4.5" customHeight="1">
      <c r="A49" s="15"/>
      <c r="B49" s="574"/>
      <c r="C49" s="574"/>
      <c r="D49" s="342"/>
      <c r="E49" s="342"/>
      <c r="F49" s="180"/>
      <c r="G49" s="180"/>
      <c r="H49" s="180"/>
      <c r="I49" s="180"/>
      <c r="J49" s="342"/>
      <c r="K49" s="342"/>
      <c r="L49" s="342"/>
      <c r="M49" s="342"/>
      <c r="N49" s="342"/>
      <c r="O49" s="342"/>
      <c r="P49" s="180"/>
    </row>
    <row r="50" spans="1:16" ht="15">
      <c r="A50" s="158" t="s">
        <v>456</v>
      </c>
      <c r="B50" s="582"/>
      <c r="C50" s="582"/>
      <c r="D50" s="140"/>
      <c r="E50" s="140"/>
      <c r="F50" s="140"/>
      <c r="G50" s="140"/>
      <c r="H50" s="140"/>
      <c r="I50" s="140"/>
      <c r="J50" s="140"/>
      <c r="K50" s="140"/>
      <c r="L50" s="140"/>
      <c r="M50" s="140"/>
      <c r="N50" s="140"/>
      <c r="O50" s="140"/>
      <c r="P50" s="140"/>
    </row>
    <row r="51" spans="1:19" ht="25.5">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6" ht="12.75">
      <c r="A52" s="89" t="s">
        <v>754</v>
      </c>
      <c r="B52" s="574">
        <f>(B6*H6+B28*H28)/H52</f>
        <v>0.009552340410473916</v>
      </c>
      <c r="C52" s="571"/>
      <c r="D52" s="54"/>
      <c r="E52" s="54"/>
      <c r="F52" s="180">
        <f>(F6*H6+F28*H28)/H52</f>
        <v>0.016830212006270676</v>
      </c>
      <c r="G52" s="180"/>
      <c r="H52" s="458">
        <f>SUM(H6,H28)</f>
        <v>41093.483033803706</v>
      </c>
      <c r="I52" s="575" t="s">
        <v>241</v>
      </c>
      <c r="J52" s="576">
        <f>H52/SUM($H$52:$H$53)</f>
        <v>0.9909054705445788</v>
      </c>
      <c r="K52" s="576"/>
      <c r="L52" s="180">
        <f>J52*F52</f>
        <v>0.016677149147438664</v>
      </c>
      <c r="M52" s="342"/>
      <c r="N52" s="342"/>
      <c r="O52" s="342"/>
      <c r="P52" s="342"/>
    </row>
    <row r="53" spans="1:16" ht="12.75">
      <c r="A53" s="21" t="s">
        <v>749</v>
      </c>
      <c r="B53" s="574">
        <f>B29</f>
        <v>0.12338432958499074</v>
      </c>
      <c r="C53" s="571"/>
      <c r="D53" s="54"/>
      <c r="E53" s="54"/>
      <c r="F53" s="574">
        <f>F29</f>
        <v>0.18761314470244403</v>
      </c>
      <c r="G53" s="180"/>
      <c r="H53" s="458">
        <f>H29</f>
        <v>377.15594775290515</v>
      </c>
      <c r="I53" s="575"/>
      <c r="J53" s="576">
        <f>H53/SUM($H$52:$H$53)</f>
        <v>0.009094529455421198</v>
      </c>
      <c r="K53" s="576"/>
      <c r="L53" s="180">
        <f>J53*F53</f>
        <v>0.0017062532707205766</v>
      </c>
      <c r="M53" s="342"/>
      <c r="N53" s="342"/>
      <c r="O53" s="342"/>
      <c r="P53" s="342"/>
    </row>
    <row r="54" spans="1:19" ht="12.75">
      <c r="A54" s="89" t="s">
        <v>750</v>
      </c>
      <c r="B54" s="574">
        <f>(B7*H7+B30*H30)/H54</f>
        <v>0.041593058267332665</v>
      </c>
      <c r="C54" s="571"/>
      <c r="D54" s="54"/>
      <c r="E54" s="54"/>
      <c r="F54" s="574">
        <f>(F7*H7+F30*H30)/H54</f>
        <v>0.07328256307331998</v>
      </c>
      <c r="G54" s="180"/>
      <c r="H54" s="458">
        <f>SUM(H7,H30)</f>
        <v>41313.40005653544</v>
      </c>
      <c r="I54" s="575"/>
      <c r="J54" s="576">
        <f>H54/SUM($H$52:$H$53)</f>
        <v>0.9962084277242244</v>
      </c>
      <c r="K54" s="571"/>
      <c r="L54" s="180">
        <f>J54*F54</f>
        <v>0.0730047069388734</v>
      </c>
      <c r="M54" s="342"/>
      <c r="N54" s="342"/>
      <c r="O54" s="342"/>
      <c r="P54" s="342"/>
      <c r="R54" s="63"/>
      <c r="S54" s="597"/>
    </row>
    <row r="55" spans="1:18" ht="12.75">
      <c r="A55" s="89" t="s">
        <v>751</v>
      </c>
      <c r="B55" s="574">
        <f>(B8*H8+B31*H31)/H55</f>
        <v>0.2129314463351328</v>
      </c>
      <c r="C55" s="571"/>
      <c r="D55" s="54"/>
      <c r="E55" s="54"/>
      <c r="F55" s="574">
        <f>(F8*H8+F31*H31)/H55</f>
        <v>0.6929473881057857</v>
      </c>
      <c r="G55" s="180"/>
      <c r="H55" s="458">
        <f>SUM(H8,H31)</f>
        <v>41313.40005653544</v>
      </c>
      <c r="I55" s="575"/>
      <c r="J55" s="576">
        <f>H55/SUM($H$52:$H$53)</f>
        <v>0.9962084277242244</v>
      </c>
      <c r="K55" s="576"/>
      <c r="L55" s="180">
        <f>J55*F55</f>
        <v>0.6903200280004727</v>
      </c>
      <c r="M55" s="342"/>
      <c r="N55" s="342"/>
      <c r="O55" s="342"/>
      <c r="P55" s="342"/>
      <c r="R55" s="63"/>
    </row>
    <row r="56" spans="1:19" ht="12.75">
      <c r="A56" s="89" t="s">
        <v>752</v>
      </c>
      <c r="B56" s="574">
        <f>(B9*H9+B32*H32)/H56</f>
        <v>0.02316943533480953</v>
      </c>
      <c r="C56" s="571"/>
      <c r="D56" s="54"/>
      <c r="E56" s="54"/>
      <c r="F56" s="574">
        <f>(F9*H9+F32*H32)/H56</f>
        <v>0.03190781154071418</v>
      </c>
      <c r="G56" s="180"/>
      <c r="H56" s="458">
        <f>SUM(H9,H32)</f>
        <v>41313.40005653544</v>
      </c>
      <c r="I56" s="575"/>
      <c r="J56" s="576">
        <f>H56/SUM($H$52:$H$53)</f>
        <v>0.9962084277242244</v>
      </c>
      <c r="K56" s="576"/>
      <c r="L56" s="180">
        <f>J56*F56</f>
        <v>0.031786830767095736</v>
      </c>
      <c r="M56" s="342"/>
      <c r="N56" s="342"/>
      <c r="O56" s="342"/>
      <c r="P56" s="342"/>
      <c r="R56" s="63"/>
      <c r="S56" s="25"/>
    </row>
    <row r="57" spans="1:16" ht="12.75">
      <c r="A57" s="25" t="s">
        <v>146</v>
      </c>
      <c r="B57" s="488"/>
      <c r="C57" s="488"/>
      <c r="D57" s="342"/>
      <c r="E57" s="342"/>
      <c r="F57" s="488"/>
      <c r="G57" s="488"/>
      <c r="H57" s="488"/>
      <c r="I57" s="488"/>
      <c r="J57" s="576"/>
      <c r="K57" s="576"/>
      <c r="L57" s="180">
        <f>SUM(L52:L56)</f>
        <v>0.8134949681246011</v>
      </c>
      <c r="M57" s="342"/>
      <c r="N57" s="203">
        <f>'Table 3.38-Form 3547 Dist'!I26</f>
        <v>0.6914835416112137</v>
      </c>
      <c r="O57" s="575" t="s">
        <v>241</v>
      </c>
      <c r="P57" s="180">
        <f>N57*L57</f>
        <v>0.5625183816417005</v>
      </c>
    </row>
    <row r="58" spans="2:16" ht="12.75">
      <c r="B58" s="574"/>
      <c r="C58" s="574"/>
      <c r="D58" s="342"/>
      <c r="E58" s="342"/>
      <c r="F58" s="180"/>
      <c r="G58" s="180"/>
      <c r="H58" s="180"/>
      <c r="I58" s="180"/>
      <c r="J58" s="576"/>
      <c r="K58" s="342"/>
      <c r="L58" s="342"/>
      <c r="M58" s="342"/>
      <c r="N58" s="203"/>
      <c r="O58" s="203"/>
      <c r="P58" s="342"/>
    </row>
    <row r="59" spans="1:16" ht="12.75">
      <c r="A59" s="15" t="s">
        <v>340</v>
      </c>
      <c r="B59" s="574"/>
      <c r="C59" s="574"/>
      <c r="D59" s="342"/>
      <c r="E59" s="342"/>
      <c r="F59" s="180"/>
      <c r="G59" s="180"/>
      <c r="H59" s="180"/>
      <c r="I59" s="180"/>
      <c r="J59" s="576"/>
      <c r="K59" s="342"/>
      <c r="L59" s="342"/>
      <c r="M59" s="342"/>
      <c r="N59" s="342"/>
      <c r="O59" s="342"/>
      <c r="P59" s="342"/>
    </row>
    <row r="60" spans="1:16" ht="12.75">
      <c r="A60" s="89" t="s">
        <v>754</v>
      </c>
      <c r="B60" s="574">
        <f>(B13*H13+B36*H36)/H60</f>
        <v>0.04187109168300539</v>
      </c>
      <c r="C60" s="571"/>
      <c r="D60" s="54"/>
      <c r="E60" s="54"/>
      <c r="F60" s="180">
        <f>(F13*H13+F36*H36)/H60</f>
        <v>0.07377242850205498</v>
      </c>
      <c r="G60" s="180"/>
      <c r="H60" s="458">
        <f>SUM(H13,H36)</f>
        <v>5203.015915052108</v>
      </c>
      <c r="I60" s="575" t="s">
        <v>241</v>
      </c>
      <c r="J60" s="576">
        <f>H60/SUM($H$60:$H$61)</f>
        <v>0.9613256492886728</v>
      </c>
      <c r="K60" s="576"/>
      <c r="L60" s="180">
        <f>J60*F60</f>
        <v>0.0709193277293402</v>
      </c>
      <c r="M60" s="342"/>
      <c r="N60" s="342"/>
      <c r="O60" s="342"/>
      <c r="P60" s="342"/>
    </row>
    <row r="61" spans="1:16" ht="12.75">
      <c r="A61" s="21" t="s">
        <v>749</v>
      </c>
      <c r="B61" s="574">
        <f>B37</f>
        <v>0.12338432958499074</v>
      </c>
      <c r="C61" s="571"/>
      <c r="D61" s="54"/>
      <c r="E61" s="54"/>
      <c r="F61" s="574">
        <f>F37</f>
        <v>0.18761314470244403</v>
      </c>
      <c r="G61" s="180"/>
      <c r="H61" s="458">
        <f>H37</f>
        <v>209.31852011255089</v>
      </c>
      <c r="I61" s="575"/>
      <c r="J61" s="576">
        <f>H61/SUM($H$60:$H$61)</f>
        <v>0.03867435071132718</v>
      </c>
      <c r="K61" s="576"/>
      <c r="L61" s="180">
        <f>J61*F61</f>
        <v>0.007255816556277296</v>
      </c>
      <c r="M61" s="342"/>
      <c r="N61" s="342"/>
      <c r="O61" s="342"/>
      <c r="P61" s="342"/>
    </row>
    <row r="62" spans="1:18" ht="12.75">
      <c r="A62" s="89" t="s">
        <v>750</v>
      </c>
      <c r="B62" s="574">
        <f>(B14*H14+B38*H38)/H62</f>
        <v>0.047796637975575866</v>
      </c>
      <c r="C62" s="571"/>
      <c r="D62" s="54"/>
      <c r="E62" s="54"/>
      <c r="F62" s="574">
        <f>(F14*H14+F38*H38)/H62</f>
        <v>0.08421261342758202</v>
      </c>
      <c r="G62" s="180"/>
      <c r="H62" s="458">
        <f>SUM(H14,H38)</f>
        <v>5325.068095377061</v>
      </c>
      <c r="I62" s="575"/>
      <c r="J62" s="576">
        <f>H62/SUM($H$60:$H$61)</f>
        <v>0.9838763955123289</v>
      </c>
      <c r="K62" s="571"/>
      <c r="L62" s="180">
        <f>J62*F62</f>
        <v>0.08285480255580253</v>
      </c>
      <c r="M62" s="342"/>
      <c r="N62" s="342"/>
      <c r="O62" s="342"/>
      <c r="P62" s="342"/>
      <c r="R62" s="63"/>
    </row>
    <row r="63" spans="1:18" ht="12.75">
      <c r="A63" s="89" t="s">
        <v>751</v>
      </c>
      <c r="B63" s="574">
        <f>(B15*H15+B39*H39)/H63</f>
        <v>0.28075674423329255</v>
      </c>
      <c r="C63" s="571"/>
      <c r="D63" s="54"/>
      <c r="E63" s="54"/>
      <c r="F63" s="574">
        <f>(F15*H15+F39*H39)/H63</f>
        <v>0.913672714660203</v>
      </c>
      <c r="G63" s="180"/>
      <c r="H63" s="458">
        <f>SUM(H15,H39)</f>
        <v>5325.068095377061</v>
      </c>
      <c r="I63" s="180"/>
      <c r="J63" s="576">
        <f>H63/SUM($H$60:$H$61)</f>
        <v>0.9838763955123289</v>
      </c>
      <c r="K63" s="576"/>
      <c r="L63" s="180">
        <f>J63*F63</f>
        <v>0.898941017177845</v>
      </c>
      <c r="M63" s="342"/>
      <c r="N63" s="342"/>
      <c r="O63" s="342"/>
      <c r="P63" s="342"/>
      <c r="R63" s="63"/>
    </row>
    <row r="64" spans="1:18" ht="12.75">
      <c r="A64" s="89" t="s">
        <v>752</v>
      </c>
      <c r="B64" s="574">
        <f>(B16*H16+B40*H40)/H64</f>
        <v>0.023169435334809526</v>
      </c>
      <c r="C64" s="571"/>
      <c r="D64" s="54"/>
      <c r="E64" s="54"/>
      <c r="F64" s="574">
        <f>(F16*H16+F40*H40)/H64</f>
        <v>0.03190781154071418</v>
      </c>
      <c r="G64" s="180"/>
      <c r="H64" s="458">
        <f>SUM(H16,H40)</f>
        <v>5325.068095377061</v>
      </c>
      <c r="I64" s="180"/>
      <c r="J64" s="576">
        <f>H64/SUM($H$60:$H$61)</f>
        <v>0.9838763955123289</v>
      </c>
      <c r="K64" s="576"/>
      <c r="L64" s="180">
        <f>J64*F64</f>
        <v>0.03139334260736456</v>
      </c>
      <c r="M64" s="342"/>
      <c r="N64" s="342"/>
      <c r="O64" s="342"/>
      <c r="P64" s="342"/>
      <c r="R64" s="63"/>
    </row>
    <row r="65" spans="1:16" ht="12.75">
      <c r="A65" s="24" t="s">
        <v>145</v>
      </c>
      <c r="B65" s="488"/>
      <c r="C65" s="488"/>
      <c r="D65" s="342"/>
      <c r="E65" s="342"/>
      <c r="F65" s="488"/>
      <c r="G65" s="488"/>
      <c r="H65" s="488"/>
      <c r="I65" s="488"/>
      <c r="J65" s="342"/>
      <c r="K65" s="342"/>
      <c r="L65" s="180">
        <f>SUM(L60:L64)</f>
        <v>1.0913643066266296</v>
      </c>
      <c r="M65" s="342"/>
      <c r="N65" s="203">
        <f>'Table 3.38-Form 3547 Dist'!I27</f>
        <v>0.09024553938694843</v>
      </c>
      <c r="O65" s="575" t="s">
        <v>241</v>
      </c>
      <c r="P65" s="180">
        <f>N65*L65</f>
        <v>0.09849076051918317</v>
      </c>
    </row>
    <row r="66" spans="1:16" ht="12.75">
      <c r="A66" s="24"/>
      <c r="B66" s="488"/>
      <c r="C66" s="488"/>
      <c r="D66" s="342"/>
      <c r="E66" s="342"/>
      <c r="F66" s="488"/>
      <c r="G66" s="488"/>
      <c r="H66" s="488"/>
      <c r="I66" s="488"/>
      <c r="J66" s="342"/>
      <c r="K66" s="342"/>
      <c r="L66" s="180"/>
      <c r="M66" s="342"/>
      <c r="N66" s="203"/>
      <c r="O66" s="575"/>
      <c r="P66" s="180"/>
    </row>
    <row r="67" spans="1:16" ht="12.75">
      <c r="A67" s="15" t="s">
        <v>341</v>
      </c>
      <c r="B67" s="488"/>
      <c r="C67" s="488"/>
      <c r="D67" s="342"/>
      <c r="E67" s="342"/>
      <c r="F67" s="180">
        <v>0</v>
      </c>
      <c r="G67" s="488"/>
      <c r="H67" s="458">
        <f>SUM(H19,H43)</f>
        <v>13090.455430083384</v>
      </c>
      <c r="I67" s="575"/>
      <c r="J67" s="576"/>
      <c r="K67" s="342"/>
      <c r="L67" s="180">
        <v>0</v>
      </c>
      <c r="M67" s="342"/>
      <c r="N67" s="203">
        <f>'Table 3.38-Form 3547 Dist'!I25</f>
        <v>0.21827091900183784</v>
      </c>
      <c r="O67" s="575" t="s">
        <v>241</v>
      </c>
      <c r="P67" s="180">
        <f>N67*L67</f>
        <v>0</v>
      </c>
    </row>
    <row r="68" spans="1:16" ht="12.75">
      <c r="A68" s="48"/>
      <c r="B68" s="85"/>
      <c r="C68" s="85"/>
      <c r="D68" s="48"/>
      <c r="E68" s="48"/>
      <c r="F68" s="92"/>
      <c r="G68" s="92"/>
      <c r="H68" s="92"/>
      <c r="I68" s="92"/>
      <c r="J68" s="182"/>
      <c r="K68" s="182"/>
      <c r="L68" s="48"/>
      <c r="M68" s="48"/>
      <c r="N68" s="48"/>
      <c r="O68" s="48"/>
      <c r="P68" s="48"/>
    </row>
    <row r="69" spans="1:16" ht="12.75">
      <c r="A69" s="15"/>
      <c r="B69" s="85"/>
      <c r="C69" s="85"/>
      <c r="D69" s="48"/>
      <c r="E69" s="48"/>
      <c r="F69" s="92"/>
      <c r="G69" s="92"/>
      <c r="H69" s="92"/>
      <c r="I69" s="92"/>
      <c r="J69" s="48"/>
      <c r="K69" s="48"/>
      <c r="L69" s="48"/>
      <c r="M69" s="48"/>
      <c r="N69" s="48"/>
      <c r="O69" s="459" t="s">
        <v>454</v>
      </c>
      <c r="P69" s="413">
        <f>P65+P57+P67</f>
        <v>0.6610091421608837</v>
      </c>
    </row>
    <row r="70" spans="1:16" ht="12.75" hidden="1">
      <c r="A70" s="21"/>
      <c r="B70" s="85"/>
      <c r="C70" s="286"/>
      <c r="D70" s="54"/>
      <c r="E70" s="54"/>
      <c r="F70" s="92"/>
      <c r="G70" s="92"/>
      <c r="H70" s="197"/>
      <c r="I70" s="92"/>
      <c r="J70" s="179"/>
      <c r="K70" s="179"/>
      <c r="L70" s="92"/>
      <c r="M70" s="48"/>
      <c r="N70" s="48"/>
      <c r="O70" s="48"/>
      <c r="P70" s="48"/>
    </row>
    <row r="71" spans="1:16" ht="12.75" hidden="1">
      <c r="A71" s="15"/>
      <c r="B71" s="83"/>
      <c r="C71" s="83"/>
      <c r="D71" s="48"/>
      <c r="E71" s="48"/>
      <c r="F71" s="83"/>
      <c r="G71" s="83"/>
      <c r="H71" s="83"/>
      <c r="I71" s="83"/>
      <c r="J71" s="48"/>
      <c r="K71" s="48"/>
      <c r="L71" s="92"/>
      <c r="M71" s="48"/>
      <c r="N71" s="181"/>
      <c r="O71" s="181"/>
      <c r="P71" s="413"/>
    </row>
    <row r="72" spans="1:16" ht="12.75" hidden="1">
      <c r="A72" s="15"/>
      <c r="B72" s="83"/>
      <c r="C72" s="83"/>
      <c r="D72" s="48"/>
      <c r="E72" s="48"/>
      <c r="F72" s="83"/>
      <c r="G72" s="457" t="s">
        <v>451</v>
      </c>
      <c r="H72" s="414">
        <v>-6.366462912410498E-12</v>
      </c>
      <c r="I72" s="83"/>
      <c r="J72" s="48"/>
      <c r="K72" s="48"/>
      <c r="L72" s="92"/>
      <c r="M72" s="48"/>
      <c r="N72" s="181" t="s">
        <v>188</v>
      </c>
      <c r="O72" s="181"/>
      <c r="P72" s="414">
        <f>(L10*H6+L17*H13+L19*H19)-P21*SUM(H6,H13,H19)</f>
        <v>0</v>
      </c>
    </row>
    <row r="73" spans="1:16" ht="12.75" hidden="1">
      <c r="A73" s="15"/>
      <c r="B73" s="83"/>
      <c r="C73" s="83"/>
      <c r="D73" s="48"/>
      <c r="H73" s="414">
        <v>0</v>
      </c>
      <c r="I73" s="83"/>
      <c r="J73" s="48"/>
      <c r="K73" s="48"/>
      <c r="L73" s="92"/>
      <c r="M73" s="48"/>
      <c r="N73" s="181"/>
      <c r="O73" s="181"/>
      <c r="P73" s="414">
        <f>(SUM(H28:H29)*L33+SUM(H36:H37)*L41+H43*L43)-P45*SUM(H28:H29,H36:H37,H43)</f>
        <v>0</v>
      </c>
    </row>
    <row r="74" spans="1:17" ht="12.75" hidden="1">
      <c r="A74" s="15"/>
      <c r="B74" s="83"/>
      <c r="C74" s="83"/>
      <c r="D74" s="48"/>
      <c r="H74" s="414">
        <v>0</v>
      </c>
      <c r="I74" s="83"/>
      <c r="J74" s="48"/>
      <c r="K74" s="48"/>
      <c r="L74" s="92"/>
      <c r="M74" s="48"/>
      <c r="N74" s="181"/>
      <c r="O74" s="181"/>
      <c r="P74" s="414">
        <f>(SUM(H52:H53)*L57+SUM(H60:H61)*L65+H67*L67)-P69*SUM(H52:H53,H60:H61,H67)</f>
        <v>0</v>
      </c>
      <c r="Q74" s="53"/>
    </row>
    <row r="75" spans="1:16" ht="12.75" hidden="1">
      <c r="A75" s="15"/>
      <c r="B75" s="83"/>
      <c r="C75" s="83"/>
      <c r="D75" s="48"/>
      <c r="E75" s="48"/>
      <c r="F75" s="83"/>
      <c r="G75" s="83"/>
      <c r="H75" s="414">
        <v>0</v>
      </c>
      <c r="I75" s="83"/>
      <c r="J75" s="48"/>
      <c r="K75" s="48"/>
      <c r="L75" s="92"/>
      <c r="M75" s="48"/>
      <c r="N75" s="181"/>
      <c r="O75" s="181"/>
      <c r="P75" s="414">
        <f>P69-'Table 3.41-Man Notice'!F25</f>
        <v>0</v>
      </c>
    </row>
    <row r="76" spans="1:16" ht="12.75" hidden="1">
      <c r="A76" s="15"/>
      <c r="B76" s="83"/>
      <c r="C76" s="83"/>
      <c r="D76" s="48"/>
      <c r="E76" s="48"/>
      <c r="F76" s="83"/>
      <c r="G76" s="83"/>
      <c r="H76" s="414">
        <v>0</v>
      </c>
      <c r="I76" s="83"/>
      <c r="J76" s="48"/>
      <c r="K76" s="48"/>
      <c r="L76" s="92"/>
      <c r="M76" s="48"/>
      <c r="N76" s="181"/>
      <c r="O76" s="181"/>
      <c r="P76" s="461"/>
    </row>
    <row r="77" spans="1:16" ht="12.75" hidden="1">
      <c r="A77" s="15"/>
      <c r="B77" s="83"/>
      <c r="C77" s="83"/>
      <c r="D77" s="48"/>
      <c r="E77" s="48"/>
      <c r="F77" s="83"/>
      <c r="G77" s="457" t="s">
        <v>452</v>
      </c>
      <c r="H77" s="414">
        <v>-6.366462912410498E-12</v>
      </c>
      <c r="I77" s="83"/>
      <c r="J77" s="48"/>
      <c r="K77" s="48"/>
      <c r="L77" s="92"/>
      <c r="M77" s="48"/>
      <c r="N77" s="181"/>
      <c r="O77" s="181"/>
      <c r="P77" s="461"/>
    </row>
    <row r="78" spans="1:16" ht="12.75" hidden="1">
      <c r="A78" s="15"/>
      <c r="B78" s="83"/>
      <c r="C78" s="83"/>
      <c r="D78" s="48"/>
      <c r="E78" s="48"/>
      <c r="F78" s="83"/>
      <c r="G78" s="457"/>
      <c r="H78" s="414">
        <v>0</v>
      </c>
      <c r="I78" s="83"/>
      <c r="J78" s="48"/>
      <c r="K78" s="48"/>
      <c r="L78" s="92"/>
      <c r="M78" s="48"/>
      <c r="N78" s="181"/>
      <c r="O78" s="181"/>
      <c r="P78" s="461"/>
    </row>
    <row r="79" spans="1:12" ht="12.75">
      <c r="A79" s="141"/>
      <c r="B79" s="289"/>
      <c r="C79" s="289"/>
      <c r="D79" s="141"/>
      <c r="E79" s="141"/>
      <c r="F79" s="141"/>
      <c r="G79" s="141"/>
      <c r="H79" s="141"/>
      <c r="I79" s="141"/>
      <c r="J79" s="141"/>
      <c r="K79" s="141"/>
      <c r="L79" s="141"/>
    </row>
    <row r="80" spans="1:3" ht="12.75">
      <c r="A80" s="47" t="s">
        <v>235</v>
      </c>
      <c r="B80" s="45"/>
      <c r="C80" s="45"/>
    </row>
    <row r="81" spans="1:7" ht="12.75">
      <c r="A81" s="25" t="s">
        <v>788</v>
      </c>
      <c r="B81" s="145"/>
      <c r="G81" s="145" t="s">
        <v>755</v>
      </c>
    </row>
    <row r="82" spans="1:7" ht="12.75">
      <c r="A82" s="25" t="s">
        <v>756</v>
      </c>
      <c r="B82" s="407"/>
      <c r="C82" s="243"/>
      <c r="D82" s="140"/>
      <c r="G82" s="25" t="s">
        <v>789</v>
      </c>
    </row>
    <row r="83" spans="1:7" ht="12.75">
      <c r="A83" s="145" t="s">
        <v>757</v>
      </c>
      <c r="G83" s="25" t="s">
        <v>790</v>
      </c>
    </row>
    <row r="84" spans="1:7" ht="12.75">
      <c r="A84" s="25" t="s">
        <v>791</v>
      </c>
      <c r="G84" s="407" t="s">
        <v>758</v>
      </c>
    </row>
    <row r="85" ht="12.75">
      <c r="A85" s="25" t="s">
        <v>11</v>
      </c>
    </row>
    <row r="86" ht="12.75">
      <c r="A86" s="145" t="s">
        <v>88</v>
      </c>
    </row>
  </sheetData>
  <sheetProtection/>
  <printOptions horizontalCentered="1"/>
  <pageMargins left="0.75" right="0.75" top="1" bottom="1" header="0.5" footer="0.5"/>
  <pageSetup fitToHeight="3" horizontalDpi="600" verticalDpi="600" orientation="landscape" scale="81" r:id="rId3"/>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sheetPr codeName="Sheet45">
    <pageSetUpPr fitToPage="1"/>
  </sheetPr>
  <dimension ref="A1:R27"/>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
      <c r="A1" s="158" t="s">
        <v>555</v>
      </c>
    </row>
    <row r="2" ht="15">
      <c r="A2" s="158" t="s">
        <v>787</v>
      </c>
    </row>
    <row r="3" ht="4.5" customHeight="1">
      <c r="A3" s="454"/>
    </row>
    <row r="4" spans="1:16" ht="12.75">
      <c r="A4" s="15"/>
      <c r="B4" s="83"/>
      <c r="C4" s="83"/>
      <c r="D4" s="48"/>
      <c r="E4" s="48"/>
      <c r="F4" s="83"/>
      <c r="G4" s="83"/>
      <c r="H4" s="83"/>
      <c r="I4" s="83"/>
      <c r="J4" s="48"/>
      <c r="K4" s="48"/>
      <c r="L4" s="92"/>
      <c r="M4" s="48"/>
      <c r="N4" s="181"/>
      <c r="O4" s="181"/>
      <c r="P4" s="413"/>
    </row>
    <row r="5" spans="1:3" ht="15">
      <c r="A5" s="158" t="s">
        <v>760</v>
      </c>
      <c r="B5" s="45"/>
      <c r="C5" s="45"/>
    </row>
    <row r="6" spans="1:16" ht="25.5">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ht="12.75">
      <c r="A7" s="89" t="s">
        <v>141</v>
      </c>
      <c r="B7" s="85">
        <v>0.5461284182889745</v>
      </c>
      <c r="C7" s="288" t="s">
        <v>241</v>
      </c>
      <c r="D7" s="54">
        <v>1.7618940786298556</v>
      </c>
      <c r="E7" s="54"/>
      <c r="F7" s="92">
        <f>B7*D7</f>
        <v>0.9622204263548332</v>
      </c>
      <c r="G7" s="92"/>
      <c r="H7" s="135">
        <f>'Table 3.39-Form 3579 Dist'!B5</f>
        <v>6960.40180637121</v>
      </c>
      <c r="I7" s="288" t="s">
        <v>240</v>
      </c>
      <c r="J7" s="179">
        <f>H7/SUM($H$7:$H$8)</f>
        <v>0.5623906983632037</v>
      </c>
      <c r="K7" s="179"/>
      <c r="L7" s="92">
        <f>J7*F7</f>
        <v>0.5411438175570342</v>
      </c>
      <c r="M7" s="48"/>
      <c r="N7" s="48"/>
      <c r="O7" s="48"/>
      <c r="P7" s="48"/>
      <c r="R7" s="63"/>
    </row>
    <row r="8" spans="1:18" ht="12.75">
      <c r="A8" s="21" t="s">
        <v>749</v>
      </c>
      <c r="B8" s="85">
        <v>0.5461284182889744</v>
      </c>
      <c r="C8" s="288" t="s">
        <v>243</v>
      </c>
      <c r="D8" s="54">
        <v>1.5205589342948984</v>
      </c>
      <c r="E8" s="54"/>
      <c r="F8" s="92">
        <f>B8*D8</f>
        <v>0.8304204457016414</v>
      </c>
      <c r="G8" s="92"/>
      <c r="H8" s="135">
        <f>'Table 3.39-Form 3579 Dist'!B6</f>
        <v>5416.050767664853</v>
      </c>
      <c r="I8" s="288" t="s">
        <v>240</v>
      </c>
      <c r="J8" s="179">
        <f>H8/SUM($H$7:$H$8)</f>
        <v>0.43760930163679645</v>
      </c>
      <c r="K8" s="179"/>
      <c r="L8" s="92">
        <f>J8*F8</f>
        <v>0.36339971130841253</v>
      </c>
      <c r="M8" s="48"/>
      <c r="N8" s="48"/>
      <c r="O8" s="48"/>
      <c r="P8" s="48"/>
      <c r="R8" s="63"/>
    </row>
    <row r="9" spans="1:18" ht="12.75">
      <c r="A9" s="89" t="s">
        <v>750</v>
      </c>
      <c r="B9" s="85">
        <f>'Table 3.40-Form Processing'!$B$6</f>
        <v>0.2038856341608595</v>
      </c>
      <c r="C9" s="286" t="s">
        <v>238</v>
      </c>
      <c r="D9" s="54">
        <v>1.7618940786298556</v>
      </c>
      <c r="E9" s="54"/>
      <c r="F9" s="92">
        <f>B9*D9</f>
        <v>0.35922489154571136</v>
      </c>
      <c r="G9" s="92"/>
      <c r="H9" s="135">
        <f>SUM(H7:H8)/'Table 3.40-Form Processing'!D6</f>
        <v>1484.4605720009235</v>
      </c>
      <c r="I9" s="288" t="s">
        <v>242</v>
      </c>
      <c r="J9" s="179">
        <f>'Table 3.40-Form Processing'!D6^-1</f>
        <v>0.11994233106141405</v>
      </c>
      <c r="K9" s="286" t="s">
        <v>238</v>
      </c>
      <c r="L9" s="92">
        <f>J9*F9</f>
        <v>0.04308627086727627</v>
      </c>
      <c r="M9" s="48"/>
      <c r="N9" s="48"/>
      <c r="O9" s="48"/>
      <c r="P9" s="48"/>
      <c r="R9" s="63"/>
    </row>
    <row r="10" spans="1:18" ht="12.75">
      <c r="A10" s="89" t="s">
        <v>751</v>
      </c>
      <c r="B10" s="85">
        <v>0.3865231975792825</v>
      </c>
      <c r="C10" s="286" t="s">
        <v>239</v>
      </c>
      <c r="D10" s="54">
        <v>3.2543215200593516</v>
      </c>
      <c r="E10" s="54"/>
      <c r="F10" s="92">
        <f>B10*D10</f>
        <v>1.2578707598844117</v>
      </c>
      <c r="G10" s="92"/>
      <c r="H10" s="197">
        <f>H9</f>
        <v>1484.4605720009235</v>
      </c>
      <c r="I10" s="92"/>
      <c r="J10" s="179">
        <f>J9</f>
        <v>0.11994233106141405</v>
      </c>
      <c r="K10" s="179"/>
      <c r="L10" s="92">
        <f>J10*F10</f>
        <v>0.15087195111452856</v>
      </c>
      <c r="M10" s="48"/>
      <c r="N10" s="48"/>
      <c r="O10" s="48"/>
      <c r="P10" s="48"/>
      <c r="R10" s="63"/>
    </row>
    <row r="11" spans="1:18" ht="12.75">
      <c r="A11" s="89" t="s">
        <v>752</v>
      </c>
      <c r="B11" s="85">
        <v>0.023169435334809526</v>
      </c>
      <c r="C11" s="286" t="s">
        <v>239</v>
      </c>
      <c r="D11" s="54">
        <v>1.37715102157782</v>
      </c>
      <c r="E11" s="54"/>
      <c r="F11" s="92">
        <f>B11*D11</f>
        <v>0.031907811540714176</v>
      </c>
      <c r="G11" s="92"/>
      <c r="H11" s="197">
        <f>H10</f>
        <v>1484.4605720009235</v>
      </c>
      <c r="I11" s="92"/>
      <c r="J11" s="179">
        <f>J9</f>
        <v>0.11994233106141405</v>
      </c>
      <c r="K11" s="179"/>
      <c r="L11" s="92">
        <f>J11*F11</f>
        <v>0.0038270972952615476</v>
      </c>
      <c r="M11" s="48"/>
      <c r="N11" s="48"/>
      <c r="O11" s="48"/>
      <c r="P11" s="48"/>
      <c r="R11" s="63"/>
    </row>
    <row r="12" spans="1:16" ht="12.75">
      <c r="A12" s="15" t="s">
        <v>761</v>
      </c>
      <c r="B12" s="83"/>
      <c r="C12" s="83"/>
      <c r="D12" s="48"/>
      <c r="E12" s="48"/>
      <c r="F12" s="83"/>
      <c r="G12" s="83"/>
      <c r="H12" s="83"/>
      <c r="I12" s="83"/>
      <c r="J12" s="48"/>
      <c r="K12" s="48"/>
      <c r="L12" s="92">
        <f>SUM(L7:L11)</f>
        <v>1.1023288481425133</v>
      </c>
      <c r="M12" s="48"/>
      <c r="N12" s="181">
        <v>1</v>
      </c>
      <c r="O12" s="181"/>
      <c r="P12" s="413">
        <f>L12*N12</f>
        <v>1.1023288481425133</v>
      </c>
    </row>
    <row r="13" spans="1:16" ht="12.75" customHeight="1" hidden="1">
      <c r="A13" s="15"/>
      <c r="B13" s="83"/>
      <c r="C13" s="83"/>
      <c r="D13" s="48"/>
      <c r="E13" s="48"/>
      <c r="F13" s="83"/>
      <c r="G13" s="83"/>
      <c r="H13" s="83"/>
      <c r="I13" s="83"/>
      <c r="J13" s="48"/>
      <c r="K13" s="48"/>
      <c r="L13" s="92"/>
      <c r="M13" s="48"/>
      <c r="N13" s="181"/>
      <c r="O13" s="181"/>
      <c r="P13" s="413"/>
    </row>
    <row r="14" spans="1:16" ht="12.75" customHeight="1" hidden="1">
      <c r="A14" s="15"/>
      <c r="B14" s="83"/>
      <c r="C14" s="83"/>
      <c r="D14" s="48"/>
      <c r="E14" s="48"/>
      <c r="F14" s="83"/>
      <c r="G14" s="457" t="s">
        <v>451</v>
      </c>
      <c r="H14" s="460">
        <v>0</v>
      </c>
      <c r="I14" s="83"/>
      <c r="J14" s="48"/>
      <c r="K14" s="48"/>
      <c r="L14" s="92"/>
      <c r="M14" s="48"/>
      <c r="N14" s="181" t="s">
        <v>188</v>
      </c>
      <c r="O14" s="181"/>
      <c r="P14" s="414">
        <f>P12-'Table 3.41-Man Notice'!F33</f>
        <v>0</v>
      </c>
    </row>
    <row r="15" spans="1:16" ht="12.75" customHeight="1" hidden="1">
      <c r="A15" s="15"/>
      <c r="B15" s="83"/>
      <c r="C15" s="83"/>
      <c r="D15" s="48"/>
      <c r="E15" s="48"/>
      <c r="F15" s="83"/>
      <c r="G15" s="457" t="s">
        <v>452</v>
      </c>
      <c r="H15" s="460">
        <v>0</v>
      </c>
      <c r="I15" s="83"/>
      <c r="J15" s="48"/>
      <c r="K15" s="48"/>
      <c r="L15" s="92"/>
      <c r="M15" s="48"/>
      <c r="N15" s="181"/>
      <c r="O15" s="181"/>
      <c r="P15" s="461"/>
    </row>
    <row r="16" spans="1:16" ht="12.75" customHeight="1" hidden="1">
      <c r="A16" s="15"/>
      <c r="B16" s="83"/>
      <c r="C16" s="83"/>
      <c r="D16" s="48"/>
      <c r="E16" s="48"/>
      <c r="F16" s="83"/>
      <c r="G16" s="457"/>
      <c r="H16" s="573"/>
      <c r="I16" s="83"/>
      <c r="J16" s="48"/>
      <c r="K16" s="48"/>
      <c r="L16" s="92"/>
      <c r="M16" s="48"/>
      <c r="N16" s="181"/>
      <c r="O16" s="181"/>
      <c r="P16" s="461"/>
    </row>
    <row r="17" spans="1:6" ht="12.75">
      <c r="A17" s="141"/>
      <c r="B17" s="289"/>
      <c r="C17" s="289"/>
      <c r="D17" s="141"/>
      <c r="E17" s="141"/>
      <c r="F17" s="141"/>
    </row>
    <row r="18" spans="1:3" ht="12.75">
      <c r="A18" s="47" t="s">
        <v>235</v>
      </c>
      <c r="B18" s="45"/>
      <c r="C18" s="45"/>
    </row>
    <row r="19" spans="1:2" ht="12.75">
      <c r="A19" s="25" t="s">
        <v>788</v>
      </c>
      <c r="B19" s="11"/>
    </row>
    <row r="20" spans="1:2" ht="12.75">
      <c r="A20" s="145" t="s">
        <v>762</v>
      </c>
      <c r="B20" s="11"/>
    </row>
    <row r="21" spans="1:2" ht="12.75">
      <c r="A21" s="25" t="s">
        <v>792</v>
      </c>
      <c r="B21" s="11"/>
    </row>
    <row r="22" ht="12.75">
      <c r="A22" s="145" t="s">
        <v>763</v>
      </c>
    </row>
    <row r="23" ht="12.75">
      <c r="A23" s="25" t="s">
        <v>793</v>
      </c>
    </row>
    <row r="24" ht="12.75">
      <c r="A24" s="407" t="s">
        <v>764</v>
      </c>
    </row>
    <row r="25" ht="12.75">
      <c r="A25" s="25" t="s">
        <v>794</v>
      </c>
    </row>
    <row r="27" ht="12.75">
      <c r="A27" s="38"/>
    </row>
  </sheetData>
  <sheetProtection/>
  <printOptions horizontalCentered="1"/>
  <pageMargins left="0.75" right="0.75" top="1" bottom="1" header="0.5" footer="0.5"/>
  <pageSetup fitToHeight="1" fitToWidth="1" horizontalDpi="600" verticalDpi="600" orientation="landscape" scale="81"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codeName="Sheet34"/>
  <dimension ref="A1:T89"/>
  <sheetViews>
    <sheetView zoomScale="70" zoomScaleNormal="70" zoomScalePageLayoutView="0" workbookViewId="0" topLeftCell="A1">
      <selection activeCell="A1" sqref="A1"/>
    </sheetView>
  </sheetViews>
  <sheetFormatPr defaultColWidth="9.140625" defaultRowHeight="12.75"/>
  <cols>
    <col min="1" max="1" width="18.140625" style="11" customWidth="1"/>
    <col min="2" max="2" width="14.8515625" style="11" customWidth="1"/>
    <col min="3" max="3" width="21.421875" style="11" customWidth="1"/>
    <col min="4" max="4" width="11.7109375" style="11" customWidth="1"/>
    <col min="5" max="5" width="3.421875" style="11" customWidth="1"/>
    <col min="6" max="6" width="11.7109375" style="11" customWidth="1"/>
    <col min="7" max="7" width="3.421875" style="11" customWidth="1"/>
    <col min="8" max="8" width="11.7109375" style="11" customWidth="1"/>
    <col min="9" max="9" width="3.421875" style="24" customWidth="1"/>
    <col min="10" max="10" width="11.7109375" style="11" customWidth="1"/>
    <col min="11" max="11" width="3.421875" style="24" customWidth="1"/>
    <col min="12" max="12" width="11.7109375" style="24" customWidth="1"/>
    <col min="13" max="13" width="3.421875" style="24" customWidth="1"/>
    <col min="14" max="14" width="11.7109375" style="11" customWidth="1"/>
    <col min="15" max="15" width="9.140625" style="11" customWidth="1"/>
    <col min="16" max="16" width="9.28125" style="11" bestFit="1" customWidth="1"/>
    <col min="17" max="16384" width="9.140625" style="11" customWidth="1"/>
  </cols>
  <sheetData>
    <row r="1" s="24" customFormat="1" ht="15.75">
      <c r="A1" s="158" t="s">
        <v>556</v>
      </c>
    </row>
    <row r="2" spans="1:14" ht="15.75" customHeight="1">
      <c r="A2" s="158" t="s">
        <v>787</v>
      </c>
      <c r="B2" s="36"/>
      <c r="C2" s="36"/>
      <c r="D2" s="36"/>
      <c r="E2" s="36"/>
      <c r="F2" s="36"/>
      <c r="G2" s="36"/>
      <c r="H2" s="36"/>
      <c r="I2" s="36"/>
      <c r="J2" s="36"/>
      <c r="K2" s="36"/>
      <c r="L2" s="36"/>
      <c r="M2" s="36"/>
      <c r="N2" s="36"/>
    </row>
    <row r="3" spans="1:14" ht="4.5" customHeight="1">
      <c r="A3" s="443"/>
      <c r="B3" s="36"/>
      <c r="C3" s="36"/>
      <c r="D3" s="36"/>
      <c r="E3" s="36"/>
      <c r="F3" s="36"/>
      <c r="G3" s="36"/>
      <c r="H3" s="36"/>
      <c r="I3" s="36"/>
      <c r="J3" s="36"/>
      <c r="K3" s="36"/>
      <c r="L3" s="36"/>
      <c r="M3" s="36"/>
      <c r="N3" s="36"/>
    </row>
    <row r="4" spans="1:15" ht="12.75" customHeight="1">
      <c r="A4" s="429" t="s">
        <v>355</v>
      </c>
      <c r="B4" s="331"/>
      <c r="C4" s="331"/>
      <c r="D4" s="23"/>
      <c r="E4" s="23"/>
      <c r="F4" s="23"/>
      <c r="G4" s="23"/>
      <c r="H4" s="23"/>
      <c r="I4" s="23"/>
      <c r="J4" s="23"/>
      <c r="K4" s="23"/>
      <c r="L4" s="23"/>
      <c r="M4" s="23"/>
      <c r="N4" s="83"/>
      <c r="O4" s="4"/>
    </row>
    <row r="5" spans="1:15" ht="25.5" customHeight="1">
      <c r="A5" s="431" t="s">
        <v>356</v>
      </c>
      <c r="B5" s="431" t="s">
        <v>357</v>
      </c>
      <c r="C5" s="432" t="s">
        <v>364</v>
      </c>
      <c r="D5" s="160" t="s">
        <v>370</v>
      </c>
      <c r="E5" s="23"/>
      <c r="F5" s="189" t="s">
        <v>249</v>
      </c>
      <c r="G5" s="160"/>
      <c r="H5" s="183" t="s">
        <v>337</v>
      </c>
      <c r="I5" s="159"/>
      <c r="J5" s="160" t="s">
        <v>246</v>
      </c>
      <c r="K5" s="159"/>
      <c r="L5" s="160" t="s">
        <v>218</v>
      </c>
      <c r="M5" s="159"/>
      <c r="N5" s="160" t="s">
        <v>338</v>
      </c>
      <c r="O5" s="4"/>
    </row>
    <row r="6" spans="1:15" ht="12.75" customHeight="1">
      <c r="A6" s="327" t="s">
        <v>358</v>
      </c>
      <c r="B6" s="18" t="s">
        <v>184</v>
      </c>
      <c r="C6" s="18" t="s">
        <v>359</v>
      </c>
      <c r="D6" s="44">
        <v>16085.984</v>
      </c>
      <c r="E6" s="23"/>
      <c r="F6" s="46">
        <v>1313.7369587868568</v>
      </c>
      <c r="G6" s="20"/>
      <c r="H6" s="85">
        <f aca="true" t="shared" si="0" ref="H6:H13">IF(D6&lt;&gt;0,F6/D6,0)</f>
        <v>0.08166966713300577</v>
      </c>
      <c r="I6" s="23"/>
      <c r="J6" s="54">
        <v>1.3925675110623363</v>
      </c>
      <c r="K6" s="23"/>
      <c r="L6" s="46">
        <f aca="true" t="shared" si="1" ref="L6:L12">F6*J6</f>
        <v>1829.4674068884162</v>
      </c>
      <c r="M6" s="23"/>
      <c r="N6" s="83">
        <f aca="true" t="shared" si="2" ref="N6:N13">IF(D6&lt;&gt;0,L6/D6,0)</f>
        <v>0.11373052508869934</v>
      </c>
      <c r="O6" s="4"/>
    </row>
    <row r="7" spans="1:15" ht="12.75" customHeight="1">
      <c r="A7" s="18"/>
      <c r="B7" s="327" t="s">
        <v>319</v>
      </c>
      <c r="C7" s="327" t="s">
        <v>377</v>
      </c>
      <c r="D7" s="44">
        <v>16085.984</v>
      </c>
      <c r="E7" s="23"/>
      <c r="F7" s="46">
        <v>281.23820544973626</v>
      </c>
      <c r="G7" s="20"/>
      <c r="H7" s="85">
        <f t="shared" si="0"/>
        <v>0.01748343187769777</v>
      </c>
      <c r="I7" s="23"/>
      <c r="J7" s="54">
        <v>1.7618940786298556</v>
      </c>
      <c r="K7" s="23"/>
      <c r="L7" s="46">
        <f t="shared" si="1"/>
        <v>495.5119288663771</v>
      </c>
      <c r="M7" s="23"/>
      <c r="N7" s="83">
        <f t="shared" si="2"/>
        <v>0.030803955099444155</v>
      </c>
      <c r="O7" s="4"/>
    </row>
    <row r="8" spans="1:15" ht="12.75" customHeight="1">
      <c r="A8" s="18"/>
      <c r="B8" s="327"/>
      <c r="C8" s="327" t="s">
        <v>378</v>
      </c>
      <c r="D8" s="44">
        <v>16085.984</v>
      </c>
      <c r="E8" s="23"/>
      <c r="F8" s="46">
        <v>949.17894339286</v>
      </c>
      <c r="G8" s="20"/>
      <c r="H8" s="85">
        <f t="shared" si="0"/>
        <v>0.059006582587229975</v>
      </c>
      <c r="I8" s="23"/>
      <c r="J8" s="54">
        <v>1.7618940786298556</v>
      </c>
      <c r="K8" s="23"/>
      <c r="L8" s="46">
        <f t="shared" si="1"/>
        <v>1672.3527599240228</v>
      </c>
      <c r="M8" s="23"/>
      <c r="N8" s="83">
        <f t="shared" si="2"/>
        <v>0.10396334846062404</v>
      </c>
      <c r="O8" s="4"/>
    </row>
    <row r="9" spans="1:20" ht="12.75" customHeight="1">
      <c r="A9" s="18"/>
      <c r="B9" s="327"/>
      <c r="C9" s="327" t="s">
        <v>379</v>
      </c>
      <c r="D9" s="44">
        <v>69.5338372030546</v>
      </c>
      <c r="E9" s="23"/>
      <c r="F9" s="46">
        <v>30.54906102439706</v>
      </c>
      <c r="G9" s="20"/>
      <c r="H9" s="85">
        <f t="shared" si="0"/>
        <v>0.4393409346184486</v>
      </c>
      <c r="I9" s="23"/>
      <c r="J9" s="54">
        <v>1.7618940786298556</v>
      </c>
      <c r="K9" s="23"/>
      <c r="L9" s="46">
        <f t="shared" si="1"/>
        <v>53.824209726587284</v>
      </c>
      <c r="M9" s="23"/>
      <c r="N9" s="83">
        <f t="shared" si="2"/>
        <v>0.774072191203951</v>
      </c>
      <c r="O9" s="4"/>
      <c r="Q9" s="140"/>
      <c r="R9" s="140"/>
      <c r="S9" s="140"/>
      <c r="T9" s="140"/>
    </row>
    <row r="10" spans="1:20" ht="12.75" customHeight="1">
      <c r="A10" s="18"/>
      <c r="B10" s="364" t="s">
        <v>371</v>
      </c>
      <c r="C10" s="364" t="s">
        <v>372</v>
      </c>
      <c r="D10" s="44">
        <v>16085.984</v>
      </c>
      <c r="E10" s="23"/>
      <c r="F10" s="46">
        <v>47.60780985019704</v>
      </c>
      <c r="G10" s="20"/>
      <c r="H10" s="85">
        <f t="shared" si="0"/>
        <v>0.0029595833149030264</v>
      </c>
      <c r="I10" s="23"/>
      <c r="J10" s="54">
        <v>1.7618940786298556</v>
      </c>
      <c r="K10" s="23"/>
      <c r="L10" s="46">
        <f t="shared" si="1"/>
        <v>83.87991827159829</v>
      </c>
      <c r="M10" s="23"/>
      <c r="N10" s="83">
        <f t="shared" si="2"/>
        <v>0.005214472317739361</v>
      </c>
      <c r="O10" s="4"/>
      <c r="Q10" s="140"/>
      <c r="R10" s="140"/>
      <c r="S10" s="140"/>
      <c r="T10" s="140"/>
    </row>
    <row r="11" spans="1:20" ht="12.75" customHeight="1">
      <c r="A11" s="18"/>
      <c r="B11" s="18" t="s">
        <v>138</v>
      </c>
      <c r="C11" s="327" t="s">
        <v>380</v>
      </c>
      <c r="D11" s="44">
        <v>16085.984</v>
      </c>
      <c r="E11" s="23"/>
      <c r="F11" s="46">
        <v>10038.320712452398</v>
      </c>
      <c r="G11" s="20"/>
      <c r="H11" s="85">
        <f t="shared" si="0"/>
        <v>0.6240414457985535</v>
      </c>
      <c r="I11" s="23"/>
      <c r="J11" s="54">
        <v>1.37715102157782</v>
      </c>
      <c r="K11" s="23"/>
      <c r="L11" s="46">
        <f t="shared" si="1"/>
        <v>13824.28362407961</v>
      </c>
      <c r="M11" s="23"/>
      <c r="N11" s="83">
        <f t="shared" si="2"/>
        <v>0.8593993145883776</v>
      </c>
      <c r="O11" s="4"/>
      <c r="Q11" s="140"/>
      <c r="R11" s="140"/>
      <c r="S11" s="140"/>
      <c r="T11" s="140"/>
    </row>
    <row r="12" spans="1:15" ht="12.75" customHeight="1">
      <c r="A12" s="283"/>
      <c r="B12" s="283" t="s">
        <v>138</v>
      </c>
      <c r="C12" s="430" t="s">
        <v>182</v>
      </c>
      <c r="D12" s="434">
        <v>1148.998857142857</v>
      </c>
      <c r="E12" s="435"/>
      <c r="F12" s="438">
        <v>97.15157852168403</v>
      </c>
      <c r="G12" s="144"/>
      <c r="H12" s="436">
        <f t="shared" si="0"/>
        <v>0.08455324208351671</v>
      </c>
      <c r="I12" s="435"/>
      <c r="J12" s="437">
        <v>1.5205589342948984</v>
      </c>
      <c r="K12" s="435"/>
      <c r="L12" s="438">
        <f t="shared" si="1"/>
        <v>147.724700701999</v>
      </c>
      <c r="M12" s="435"/>
      <c r="N12" s="172">
        <f t="shared" si="2"/>
        <v>0.12856818767369071</v>
      </c>
      <c r="O12" s="4"/>
    </row>
    <row r="13" spans="1:15" ht="12.75" customHeight="1">
      <c r="A13" s="18"/>
      <c r="B13" s="18"/>
      <c r="C13" s="433" t="s">
        <v>102</v>
      </c>
      <c r="D13" s="44">
        <v>16085.984</v>
      </c>
      <c r="E13" s="23"/>
      <c r="F13" s="46">
        <f>SUM(F6:F12)</f>
        <v>12757.783269478128</v>
      </c>
      <c r="G13" s="23"/>
      <c r="H13" s="85">
        <f t="shared" si="0"/>
        <v>0.7930993384972985</v>
      </c>
      <c r="I13" s="23"/>
      <c r="J13" s="23"/>
      <c r="K13" s="23"/>
      <c r="L13" s="46">
        <f>SUM(L6:L12)</f>
        <v>18107.04454845861</v>
      </c>
      <c r="M13" s="23"/>
      <c r="N13" s="83">
        <f t="shared" si="2"/>
        <v>1.1256410890660222</v>
      </c>
      <c r="O13" s="4"/>
    </row>
    <row r="14" spans="1:15" ht="12.75" customHeight="1">
      <c r="A14" s="18"/>
      <c r="B14" s="18"/>
      <c r="C14" s="18"/>
      <c r="D14" s="23"/>
      <c r="E14" s="23"/>
      <c r="F14" s="23"/>
      <c r="G14" s="23"/>
      <c r="H14" s="23"/>
      <c r="I14" s="23"/>
      <c r="J14" s="23"/>
      <c r="K14" s="23"/>
      <c r="L14" s="23"/>
      <c r="M14" s="23"/>
      <c r="N14" s="83"/>
      <c r="O14" s="4"/>
    </row>
    <row r="15" spans="1:15" ht="12.75" customHeight="1">
      <c r="A15" s="18" t="s">
        <v>360</v>
      </c>
      <c r="B15" s="18" t="s">
        <v>138</v>
      </c>
      <c r="C15" s="327" t="s">
        <v>361</v>
      </c>
      <c r="D15" s="44">
        <v>1342.443</v>
      </c>
      <c r="E15" s="23"/>
      <c r="F15" s="46">
        <v>670.192056497718</v>
      </c>
      <c r="G15" s="20"/>
      <c r="H15" s="85">
        <f aca="true" t="shared" si="3" ref="H15:H22">IF(D15&lt;&gt;0,F15/D15,0)</f>
        <v>0.49923315663884277</v>
      </c>
      <c r="I15" s="23"/>
      <c r="J15" s="54">
        <v>1.37715102157782</v>
      </c>
      <c r="K15" s="23"/>
      <c r="L15" s="46">
        <f aca="true" t="shared" si="4" ref="L15:L21">F15*J15</f>
        <v>922.9556752591724</v>
      </c>
      <c r="M15" s="23"/>
      <c r="N15" s="83">
        <f aca="true" t="shared" si="5" ref="N15:N22">IF(D15&lt;&gt;0,L15/D15,0)</f>
        <v>0.6875194516707022</v>
      </c>
      <c r="O15" s="4"/>
    </row>
    <row r="16" spans="1:15" ht="12.75" customHeight="1">
      <c r="A16" s="18"/>
      <c r="B16" s="327" t="s">
        <v>319</v>
      </c>
      <c r="C16" s="327" t="s">
        <v>377</v>
      </c>
      <c r="D16" s="44">
        <v>1342.443</v>
      </c>
      <c r="E16" s="23"/>
      <c r="F16" s="46">
        <v>23.470510740192225</v>
      </c>
      <c r="G16" s="20"/>
      <c r="H16" s="85">
        <f t="shared" si="3"/>
        <v>0.01748343187769777</v>
      </c>
      <c r="I16" s="23"/>
      <c r="J16" s="54">
        <v>1.7618940786298556</v>
      </c>
      <c r="K16" s="23"/>
      <c r="L16" s="46">
        <f t="shared" si="4"/>
        <v>41.35255389556311</v>
      </c>
      <c r="M16" s="23"/>
      <c r="N16" s="83">
        <f t="shared" si="5"/>
        <v>0.03080395509944416</v>
      </c>
      <c r="O16" s="4"/>
    </row>
    <row r="17" spans="1:15" ht="12.75" customHeight="1">
      <c r="A17" s="18"/>
      <c r="B17" s="327"/>
      <c r="C17" s="327" t="s">
        <v>378</v>
      </c>
      <c r="D17" s="44">
        <v>1342.443</v>
      </c>
      <c r="E17" s="23"/>
      <c r="F17" s="46">
        <v>79.21297374814877</v>
      </c>
      <c r="G17" s="20"/>
      <c r="H17" s="85">
        <f t="shared" si="3"/>
        <v>0.059006582587229975</v>
      </c>
      <c r="I17" s="23"/>
      <c r="J17" s="54">
        <v>1.7618940786298556</v>
      </c>
      <c r="K17" s="23"/>
      <c r="L17" s="46">
        <f t="shared" si="4"/>
        <v>139.5648693975255</v>
      </c>
      <c r="M17" s="23"/>
      <c r="N17" s="83">
        <f t="shared" si="5"/>
        <v>0.10396334846062404</v>
      </c>
      <c r="O17" s="4"/>
    </row>
    <row r="18" spans="1:15" ht="12.75" customHeight="1">
      <c r="A18" s="18"/>
      <c r="B18" s="327"/>
      <c r="C18" s="327" t="s">
        <v>379</v>
      </c>
      <c r="D18" s="44">
        <v>5.802891076876629</v>
      </c>
      <c r="E18" s="23"/>
      <c r="F18" s="46">
        <v>2.549447589204034</v>
      </c>
      <c r="G18" s="20"/>
      <c r="H18" s="85">
        <f t="shared" si="3"/>
        <v>0.4393409346184486</v>
      </c>
      <c r="I18" s="23"/>
      <c r="J18" s="54">
        <v>1.7618940786298556</v>
      </c>
      <c r="K18" s="23"/>
      <c r="L18" s="46">
        <f t="shared" si="4"/>
        <v>4.491856611195748</v>
      </c>
      <c r="M18" s="23"/>
      <c r="N18" s="83">
        <f t="shared" si="5"/>
        <v>0.7740721912039511</v>
      </c>
      <c r="O18" s="4"/>
    </row>
    <row r="19" spans="1:15" ht="12.75" customHeight="1">
      <c r="A19" s="18"/>
      <c r="B19" s="364" t="s">
        <v>371</v>
      </c>
      <c r="C19" s="364" t="s">
        <v>372</v>
      </c>
      <c r="D19" s="44">
        <v>1342.443</v>
      </c>
      <c r="E19" s="23"/>
      <c r="F19" s="46">
        <v>3.9730719040083637</v>
      </c>
      <c r="G19" s="20"/>
      <c r="H19" s="85">
        <f t="shared" si="3"/>
        <v>0.002959583314903027</v>
      </c>
      <c r="I19" s="23"/>
      <c r="J19" s="54">
        <v>1.7618940786298556</v>
      </c>
      <c r="K19" s="23"/>
      <c r="L19" s="46">
        <f t="shared" si="4"/>
        <v>7.000131861642982</v>
      </c>
      <c r="M19" s="23"/>
      <c r="N19" s="83">
        <f t="shared" si="5"/>
        <v>0.005214472317739362</v>
      </c>
      <c r="O19" s="4"/>
    </row>
    <row r="20" spans="1:15" ht="12.75" customHeight="1">
      <c r="A20" s="18"/>
      <c r="B20" s="18" t="s">
        <v>138</v>
      </c>
      <c r="C20" s="327" t="s">
        <v>380</v>
      </c>
      <c r="D20" s="44">
        <v>1342.443</v>
      </c>
      <c r="E20" s="23"/>
      <c r="F20" s="46">
        <v>837.7400706221474</v>
      </c>
      <c r="G20" s="20"/>
      <c r="H20" s="85">
        <f t="shared" si="3"/>
        <v>0.6240414457985534</v>
      </c>
      <c r="I20" s="23"/>
      <c r="J20" s="54">
        <v>1.37715102157782</v>
      </c>
      <c r="K20" s="23"/>
      <c r="L20" s="46">
        <f t="shared" si="4"/>
        <v>1153.6945940739654</v>
      </c>
      <c r="M20" s="23"/>
      <c r="N20" s="83">
        <f t="shared" si="5"/>
        <v>0.8593993145883776</v>
      </c>
      <c r="O20" s="4"/>
    </row>
    <row r="21" spans="1:15" ht="12.75" customHeight="1">
      <c r="A21" s="283"/>
      <c r="B21" s="283" t="s">
        <v>138</v>
      </c>
      <c r="C21" s="430" t="s">
        <v>182</v>
      </c>
      <c r="D21" s="434">
        <v>95.88878571428572</v>
      </c>
      <c r="E21" s="435"/>
      <c r="F21" s="438">
        <v>8.10770771159446</v>
      </c>
      <c r="G21" s="144"/>
      <c r="H21" s="436">
        <f t="shared" si="3"/>
        <v>0.08455324208351671</v>
      </c>
      <c r="I21" s="435"/>
      <c r="J21" s="437">
        <v>1.5205589342948984</v>
      </c>
      <c r="K21" s="435"/>
      <c r="L21" s="438">
        <f t="shared" si="4"/>
        <v>12.3282473975166</v>
      </c>
      <c r="M21" s="435"/>
      <c r="N21" s="172">
        <f t="shared" si="5"/>
        <v>0.12856818767369071</v>
      </c>
      <c r="O21" s="4"/>
    </row>
    <row r="22" spans="1:15" ht="12.75" customHeight="1">
      <c r="A22" s="18"/>
      <c r="B22" s="18"/>
      <c r="C22" s="18"/>
      <c r="D22" s="44">
        <v>1342.443</v>
      </c>
      <c r="E22" s="23"/>
      <c r="F22" s="46">
        <f>SUM(F15:F21)</f>
        <v>1625.2458388130133</v>
      </c>
      <c r="G22" s="23"/>
      <c r="H22" s="85">
        <f t="shared" si="3"/>
        <v>1.2106628280031355</v>
      </c>
      <c r="I22" s="23"/>
      <c r="J22" s="23"/>
      <c r="K22" s="23"/>
      <c r="L22" s="46">
        <f>SUM(L15:L21)</f>
        <v>2281.387928496582</v>
      </c>
      <c r="M22" s="23"/>
      <c r="N22" s="83">
        <f t="shared" si="5"/>
        <v>1.6994300156480253</v>
      </c>
      <c r="O22" s="4"/>
    </row>
    <row r="23" spans="1:15" ht="12.75" customHeight="1">
      <c r="A23" s="18"/>
      <c r="B23" s="18"/>
      <c r="C23" s="18"/>
      <c r="D23" s="23"/>
      <c r="E23" s="23"/>
      <c r="F23" s="23"/>
      <c r="G23" s="23"/>
      <c r="H23" s="23"/>
      <c r="I23" s="23"/>
      <c r="J23" s="23"/>
      <c r="K23" s="23"/>
      <c r="L23" s="23"/>
      <c r="M23" s="23"/>
      <c r="N23" s="83"/>
      <c r="O23" s="4"/>
    </row>
    <row r="24" spans="1:15" ht="12.75" customHeight="1">
      <c r="A24" s="18" t="s">
        <v>362</v>
      </c>
      <c r="B24" s="327" t="s">
        <v>319</v>
      </c>
      <c r="C24" s="327" t="s">
        <v>377</v>
      </c>
      <c r="D24" s="44">
        <v>0</v>
      </c>
      <c r="E24" s="23"/>
      <c r="F24" s="46">
        <v>0</v>
      </c>
      <c r="G24" s="20"/>
      <c r="H24" s="85">
        <f aca="true" t="shared" si="6" ref="H24:H30">IF(D24&lt;&gt;0,F24/D24,0)</f>
        <v>0</v>
      </c>
      <c r="I24" s="23"/>
      <c r="J24" s="54">
        <v>1.7618940786298556</v>
      </c>
      <c r="K24" s="23"/>
      <c r="L24" s="46">
        <f aca="true" t="shared" si="7" ref="L24:L29">F24*J24</f>
        <v>0</v>
      </c>
      <c r="M24" s="23"/>
      <c r="N24" s="83">
        <f aca="true" t="shared" si="8" ref="N24:N30">IF(D24&lt;&gt;0,L24/D24,0)</f>
        <v>0</v>
      </c>
      <c r="O24" s="4"/>
    </row>
    <row r="25" spans="1:15" ht="12.75" customHeight="1">
      <c r="A25" s="18"/>
      <c r="B25" s="327"/>
      <c r="C25" s="327" t="s">
        <v>378</v>
      </c>
      <c r="D25" s="44">
        <v>18513.317</v>
      </c>
      <c r="E25" s="23"/>
      <c r="F25" s="46">
        <v>1092.4075685240687</v>
      </c>
      <c r="G25" s="20"/>
      <c r="H25" s="85">
        <f t="shared" si="6"/>
        <v>0.059006582587229975</v>
      </c>
      <c r="I25" s="23"/>
      <c r="J25" s="54">
        <v>1.7618940786298556</v>
      </c>
      <c r="K25" s="23"/>
      <c r="L25" s="46">
        <f t="shared" si="7"/>
        <v>1924.7064264329947</v>
      </c>
      <c r="M25" s="23"/>
      <c r="N25" s="83">
        <f t="shared" si="8"/>
        <v>0.10396334846062404</v>
      </c>
      <c r="O25" s="4"/>
    </row>
    <row r="26" spans="1:15" ht="12.75" customHeight="1">
      <c r="A26" s="18"/>
      <c r="B26" s="327"/>
      <c r="C26" s="327" t="s">
        <v>379</v>
      </c>
      <c r="D26" s="44">
        <v>0</v>
      </c>
      <c r="E26" s="23"/>
      <c r="F26" s="46">
        <v>0</v>
      </c>
      <c r="G26" s="20"/>
      <c r="H26" s="85">
        <f t="shared" si="6"/>
        <v>0</v>
      </c>
      <c r="I26" s="23"/>
      <c r="J26" s="54">
        <v>1.7618940786298556</v>
      </c>
      <c r="K26" s="23"/>
      <c r="L26" s="46">
        <f t="shared" si="7"/>
        <v>0</v>
      </c>
      <c r="M26" s="23"/>
      <c r="N26" s="83">
        <f t="shared" si="8"/>
        <v>0</v>
      </c>
      <c r="O26" s="4"/>
    </row>
    <row r="27" spans="1:15" ht="12.75" customHeight="1">
      <c r="A27" s="18"/>
      <c r="B27" s="364" t="s">
        <v>371</v>
      </c>
      <c r="C27" s="364" t="s">
        <v>372</v>
      </c>
      <c r="D27" s="44">
        <v>18513.317</v>
      </c>
      <c r="E27" s="23"/>
      <c r="F27" s="46">
        <v>54.791704096710546</v>
      </c>
      <c r="G27" s="20"/>
      <c r="H27" s="85">
        <f t="shared" si="6"/>
        <v>0.0029595833149030264</v>
      </c>
      <c r="I27" s="23"/>
      <c r="J27" s="54">
        <v>1.7618940786298556</v>
      </c>
      <c r="K27" s="23"/>
      <c r="L27" s="46">
        <f t="shared" si="7"/>
        <v>96.53717900603351</v>
      </c>
      <c r="M27" s="23"/>
      <c r="N27" s="83">
        <f t="shared" si="8"/>
        <v>0.005214472317739361</v>
      </c>
      <c r="O27" s="4"/>
    </row>
    <row r="28" spans="1:15" ht="12.75" customHeight="1">
      <c r="A28" s="18"/>
      <c r="B28" s="18" t="s">
        <v>138</v>
      </c>
      <c r="C28" s="327" t="s">
        <v>380</v>
      </c>
      <c r="D28" s="44">
        <v>18513.317</v>
      </c>
      <c r="E28" s="23"/>
      <c r="F28" s="46">
        <v>11553.077107206936</v>
      </c>
      <c r="G28" s="20"/>
      <c r="H28" s="85">
        <f t="shared" si="6"/>
        <v>0.6240414457985534</v>
      </c>
      <c r="I28" s="23"/>
      <c r="J28" s="54">
        <v>1.37715102157782</v>
      </c>
      <c r="K28" s="23"/>
      <c r="L28" s="46">
        <f t="shared" si="7"/>
        <v>15910.331940557358</v>
      </c>
      <c r="M28" s="23"/>
      <c r="N28" s="83">
        <f t="shared" si="8"/>
        <v>0.8593993145883776</v>
      </c>
      <c r="O28" s="4"/>
    </row>
    <row r="29" spans="1:15" ht="12.75" customHeight="1">
      <c r="A29" s="283"/>
      <c r="B29" s="283" t="s">
        <v>138</v>
      </c>
      <c r="C29" s="430" t="s">
        <v>182</v>
      </c>
      <c r="D29" s="434">
        <v>1322.3797857142856</v>
      </c>
      <c r="E29" s="435"/>
      <c r="F29" s="438">
        <v>111.81149814784897</v>
      </c>
      <c r="G29" s="144"/>
      <c r="H29" s="436">
        <f t="shared" si="6"/>
        <v>0.08455324208351672</v>
      </c>
      <c r="I29" s="435"/>
      <c r="J29" s="437">
        <v>1.5205589342948984</v>
      </c>
      <c r="K29" s="435"/>
      <c r="L29" s="438">
        <f t="shared" si="7"/>
        <v>170.01597246560922</v>
      </c>
      <c r="M29" s="435"/>
      <c r="N29" s="172">
        <f t="shared" si="8"/>
        <v>0.12856818767369074</v>
      </c>
      <c r="O29" s="4"/>
    </row>
    <row r="30" spans="1:15" ht="12.75" customHeight="1">
      <c r="A30" s="18"/>
      <c r="B30" s="18"/>
      <c r="C30" s="18"/>
      <c r="D30" s="44">
        <v>18513.317</v>
      </c>
      <c r="E30" s="23"/>
      <c r="F30" s="46">
        <f>SUM(F24:F29)</f>
        <v>12812.087877975564</v>
      </c>
      <c r="G30" s="23"/>
      <c r="H30" s="85">
        <f t="shared" si="6"/>
        <v>0.6920471289923661</v>
      </c>
      <c r="I30" s="23"/>
      <c r="J30" s="23"/>
      <c r="K30" s="23"/>
      <c r="L30" s="46">
        <f>SUM(L23:L29)</f>
        <v>18101.591518461995</v>
      </c>
      <c r="M30" s="23"/>
      <c r="N30" s="83">
        <f t="shared" si="8"/>
        <v>0.9777605773434331</v>
      </c>
      <c r="O30" s="4"/>
    </row>
    <row r="31" spans="1:15" ht="12.75" customHeight="1">
      <c r="A31" s="18"/>
      <c r="B31" s="18"/>
      <c r="C31" s="18"/>
      <c r="D31" s="23"/>
      <c r="E31" s="23"/>
      <c r="F31" s="23"/>
      <c r="G31" s="23"/>
      <c r="H31" s="23"/>
      <c r="I31" s="23"/>
      <c r="J31" s="23"/>
      <c r="K31" s="23"/>
      <c r="L31" s="23"/>
      <c r="M31" s="23"/>
      <c r="N31" s="83"/>
      <c r="O31" s="4"/>
    </row>
    <row r="32" spans="1:15" ht="12.75" customHeight="1">
      <c r="A32" s="18" t="s">
        <v>363</v>
      </c>
      <c r="B32" s="327" t="s">
        <v>319</v>
      </c>
      <c r="C32" s="327" t="s">
        <v>377</v>
      </c>
      <c r="D32" s="44">
        <v>0</v>
      </c>
      <c r="E32" s="23"/>
      <c r="F32" s="46">
        <v>0</v>
      </c>
      <c r="G32" s="20"/>
      <c r="H32" s="85">
        <f aca="true" t="shared" si="9" ref="H32:H38">IF(D32&lt;&gt;0,F32/D32,0)</f>
        <v>0</v>
      </c>
      <c r="I32" s="23"/>
      <c r="J32" s="54">
        <v>1.7618940786298556</v>
      </c>
      <c r="K32" s="23"/>
      <c r="L32" s="46">
        <f aca="true" t="shared" si="10" ref="L32:L37">F32*J32</f>
        <v>0</v>
      </c>
      <c r="M32" s="23"/>
      <c r="N32" s="83">
        <f aca="true" t="shared" si="11" ref="N32:N38">IF(D32&lt;&gt;0,L32/D32,0)</f>
        <v>0</v>
      </c>
      <c r="O32" s="4"/>
    </row>
    <row r="33" spans="1:15" ht="12.75" customHeight="1">
      <c r="A33" s="18"/>
      <c r="B33" s="327"/>
      <c r="C33" s="327" t="s">
        <v>378</v>
      </c>
      <c r="D33" s="44">
        <v>0</v>
      </c>
      <c r="E33" s="23"/>
      <c r="F33" s="46">
        <v>0</v>
      </c>
      <c r="G33" s="20"/>
      <c r="H33" s="85">
        <f t="shared" si="9"/>
        <v>0</v>
      </c>
      <c r="I33" s="23"/>
      <c r="J33" s="54">
        <v>1.7618940786298556</v>
      </c>
      <c r="K33" s="23"/>
      <c r="L33" s="46">
        <f t="shared" si="10"/>
        <v>0</v>
      </c>
      <c r="M33" s="23"/>
      <c r="N33" s="83">
        <f t="shared" si="11"/>
        <v>0</v>
      </c>
      <c r="O33" s="4"/>
    </row>
    <row r="34" spans="1:15" ht="12.75" customHeight="1">
      <c r="A34" s="18"/>
      <c r="B34" s="327"/>
      <c r="C34" s="327" t="s">
        <v>379</v>
      </c>
      <c r="D34" s="44">
        <v>0</v>
      </c>
      <c r="E34" s="23"/>
      <c r="F34" s="46">
        <v>0</v>
      </c>
      <c r="G34" s="20"/>
      <c r="H34" s="85">
        <f t="shared" si="9"/>
        <v>0</v>
      </c>
      <c r="I34" s="23"/>
      <c r="J34" s="54">
        <v>1.7618940786298556</v>
      </c>
      <c r="K34" s="23"/>
      <c r="L34" s="46">
        <f t="shared" si="10"/>
        <v>0</v>
      </c>
      <c r="M34" s="23"/>
      <c r="N34" s="83">
        <f t="shared" si="11"/>
        <v>0</v>
      </c>
      <c r="O34" s="4"/>
    </row>
    <row r="35" spans="1:15" ht="12.75" customHeight="1">
      <c r="A35" s="18"/>
      <c r="B35" s="364" t="s">
        <v>371</v>
      </c>
      <c r="C35" s="364" t="s">
        <v>372</v>
      </c>
      <c r="D35" s="44">
        <v>0</v>
      </c>
      <c r="E35" s="23"/>
      <c r="F35" s="46">
        <v>0</v>
      </c>
      <c r="G35" s="20"/>
      <c r="H35" s="85">
        <f t="shared" si="9"/>
        <v>0</v>
      </c>
      <c r="I35" s="23"/>
      <c r="J35" s="54">
        <v>1.7618940786298556</v>
      </c>
      <c r="K35" s="23"/>
      <c r="L35" s="46">
        <f t="shared" si="10"/>
        <v>0</v>
      </c>
      <c r="M35" s="23"/>
      <c r="N35" s="83">
        <f t="shared" si="11"/>
        <v>0</v>
      </c>
      <c r="O35" s="4"/>
    </row>
    <row r="36" spans="1:15" ht="12.75" customHeight="1">
      <c r="A36" s="18"/>
      <c r="B36" s="18" t="s">
        <v>138</v>
      </c>
      <c r="C36" s="327" t="s">
        <v>380</v>
      </c>
      <c r="D36" s="44">
        <v>0</v>
      </c>
      <c r="E36" s="23"/>
      <c r="F36" s="46">
        <v>0</v>
      </c>
      <c r="G36" s="20"/>
      <c r="H36" s="85">
        <f t="shared" si="9"/>
        <v>0</v>
      </c>
      <c r="I36" s="23"/>
      <c r="J36" s="54">
        <v>1.37715102157782</v>
      </c>
      <c r="K36" s="23"/>
      <c r="L36" s="46">
        <f t="shared" si="10"/>
        <v>0</v>
      </c>
      <c r="M36" s="23"/>
      <c r="N36" s="83">
        <f t="shared" si="11"/>
        <v>0</v>
      </c>
      <c r="O36" s="4"/>
    </row>
    <row r="37" spans="1:15" ht="12.75" customHeight="1">
      <c r="A37" s="283"/>
      <c r="B37" s="283" t="s">
        <v>138</v>
      </c>
      <c r="C37" s="430" t="s">
        <v>182</v>
      </c>
      <c r="D37" s="434">
        <v>0</v>
      </c>
      <c r="E37" s="435"/>
      <c r="F37" s="438">
        <v>0</v>
      </c>
      <c r="G37" s="144"/>
      <c r="H37" s="436">
        <f t="shared" si="9"/>
        <v>0</v>
      </c>
      <c r="I37" s="435"/>
      <c r="J37" s="437">
        <v>1.5205589342948984</v>
      </c>
      <c r="K37" s="435"/>
      <c r="L37" s="438">
        <f t="shared" si="10"/>
        <v>0</v>
      </c>
      <c r="M37" s="435"/>
      <c r="N37" s="172">
        <f t="shared" si="11"/>
        <v>0</v>
      </c>
      <c r="O37" s="4"/>
    </row>
    <row r="38" spans="1:15" ht="12.75" customHeight="1">
      <c r="A38" s="16"/>
      <c r="B38" s="23"/>
      <c r="C38" s="23"/>
      <c r="D38" s="44">
        <v>0</v>
      </c>
      <c r="E38" s="23"/>
      <c r="F38" s="46">
        <f>SUM(F32:F37)</f>
        <v>0</v>
      </c>
      <c r="G38" s="23"/>
      <c r="H38" s="85">
        <f t="shared" si="9"/>
        <v>0</v>
      </c>
      <c r="I38" s="23"/>
      <c r="J38" s="23"/>
      <c r="K38" s="23"/>
      <c r="L38" s="46">
        <f>SUM(L31:L37)</f>
        <v>0</v>
      </c>
      <c r="M38" s="23"/>
      <c r="N38" s="83">
        <f t="shared" si="11"/>
        <v>0</v>
      </c>
      <c r="O38" s="4"/>
    </row>
    <row r="39" spans="1:15" ht="4.5" customHeight="1">
      <c r="A39" s="16"/>
      <c r="B39" s="23"/>
      <c r="C39" s="23"/>
      <c r="D39" s="44"/>
      <c r="E39" s="23"/>
      <c r="F39" s="42"/>
      <c r="G39" s="23"/>
      <c r="H39" s="85"/>
      <c r="I39" s="23"/>
      <c r="J39" s="23"/>
      <c r="K39" s="23"/>
      <c r="L39" s="23"/>
      <c r="M39" s="23"/>
      <c r="N39" s="83"/>
      <c r="O39" s="4"/>
    </row>
    <row r="40" spans="1:15" ht="12.75" customHeight="1">
      <c r="A40" s="16"/>
      <c r="B40" s="23"/>
      <c r="C40" s="334" t="s">
        <v>365</v>
      </c>
      <c r="D40" s="44">
        <f>SUM(D13,D22,D30,D38)</f>
        <v>35941.744</v>
      </c>
      <c r="E40" s="23"/>
      <c r="F40" s="42">
        <f>SUM(F13,F22,F30,F38)</f>
        <v>27195.116986266705</v>
      </c>
      <c r="G40" s="23"/>
      <c r="H40" s="85">
        <f>IF(D40&lt;&gt;0,F40/D40,0)</f>
        <v>0.7566443349623408</v>
      </c>
      <c r="I40" s="23"/>
      <c r="J40" s="23"/>
      <c r="K40" s="23"/>
      <c r="L40" s="42">
        <f>SUM(L13,L22,L30,L38)</f>
        <v>38490.023995417185</v>
      </c>
      <c r="M40" s="23"/>
      <c r="N40" s="83">
        <f>IF(D40&lt;&gt;0,L40/D40,0)</f>
        <v>1.0709002878496154</v>
      </c>
      <c r="O40" s="4"/>
    </row>
    <row r="41" spans="1:15" ht="12.75" customHeight="1">
      <c r="A41" s="16"/>
      <c r="B41" s="23"/>
      <c r="C41" s="334"/>
      <c r="D41" s="44"/>
      <c r="E41" s="23"/>
      <c r="F41" s="42"/>
      <c r="G41" s="23"/>
      <c r="H41" s="85"/>
      <c r="I41" s="23"/>
      <c r="J41" s="23"/>
      <c r="K41" s="23"/>
      <c r="L41" s="42"/>
      <c r="M41" s="23"/>
      <c r="N41" s="83"/>
      <c r="O41" s="4"/>
    </row>
    <row r="42" spans="1:15" ht="15.75" customHeight="1">
      <c r="A42" s="158" t="s">
        <v>89</v>
      </c>
      <c r="B42" s="23"/>
      <c r="C42" s="334"/>
      <c r="D42" s="44"/>
      <c r="E42" s="23"/>
      <c r="F42" s="42"/>
      <c r="G42" s="23"/>
      <c r="H42" s="85"/>
      <c r="I42" s="23"/>
      <c r="J42" s="23"/>
      <c r="K42" s="23"/>
      <c r="L42" s="42"/>
      <c r="M42" s="23"/>
      <c r="N42" s="83"/>
      <c r="O42" s="4"/>
    </row>
    <row r="43" spans="1:15" ht="15.75" customHeight="1">
      <c r="A43" s="158" t="s">
        <v>787</v>
      </c>
      <c r="B43" s="23"/>
      <c r="C43" s="334"/>
      <c r="D43" s="44"/>
      <c r="E43" s="23"/>
      <c r="F43" s="42"/>
      <c r="G43" s="23"/>
      <c r="H43" s="85"/>
      <c r="I43" s="23"/>
      <c r="J43" s="23"/>
      <c r="K43" s="23"/>
      <c r="L43" s="42"/>
      <c r="M43" s="23"/>
      <c r="N43" s="83"/>
      <c r="O43" s="4"/>
    </row>
    <row r="44" spans="1:15" ht="4.5" customHeight="1">
      <c r="A44" s="16"/>
      <c r="B44" s="23"/>
      <c r="C44" s="334"/>
      <c r="D44" s="44"/>
      <c r="E44" s="23"/>
      <c r="F44" s="42"/>
      <c r="G44" s="23"/>
      <c r="H44" s="85"/>
      <c r="I44" s="23"/>
      <c r="J44" s="23"/>
      <c r="K44" s="23"/>
      <c r="L44" s="42"/>
      <c r="M44" s="23"/>
      <c r="N44" s="83"/>
      <c r="O44" s="4"/>
    </row>
    <row r="45" spans="1:15" ht="12.75" customHeight="1">
      <c r="A45" s="19" t="s">
        <v>366</v>
      </c>
      <c r="B45" s="23"/>
      <c r="C45" s="334"/>
      <c r="D45" s="44"/>
      <c r="E45" s="23"/>
      <c r="F45" s="42"/>
      <c r="G45" s="23"/>
      <c r="H45" s="85"/>
      <c r="I45" s="23"/>
      <c r="J45" s="23"/>
      <c r="K45" s="23"/>
      <c r="L45" s="42"/>
      <c r="M45" s="23"/>
      <c r="N45" s="83"/>
      <c r="O45" s="4"/>
    </row>
    <row r="46" spans="1:15" ht="25.5" customHeight="1">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c r="A47" s="18" t="s">
        <v>367</v>
      </c>
      <c r="B47" s="18" t="s">
        <v>138</v>
      </c>
      <c r="C47" s="327" t="s">
        <v>361</v>
      </c>
      <c r="D47" s="44">
        <v>12570.2463002924</v>
      </c>
      <c r="E47" s="23"/>
      <c r="F47" s="46">
        <v>6275.483740222709</v>
      </c>
      <c r="G47" s="23"/>
      <c r="H47" s="85">
        <f aca="true" t="shared" si="12" ref="H47:H55">IF(D47&lt;&gt;0,F47/D47,0)</f>
        <v>0.4992331566388427</v>
      </c>
      <c r="I47" s="23"/>
      <c r="J47" s="54">
        <v>1.37715102157782</v>
      </c>
      <c r="K47" s="23"/>
      <c r="L47" s="46">
        <f aca="true" t="shared" si="13" ref="L47:L54">F47*J47</f>
        <v>8642.288843742701</v>
      </c>
      <c r="M47" s="23"/>
      <c r="N47" s="83">
        <f aca="true" t="shared" si="14" ref="N47:N55">IF(D47&lt;&gt;0,L47/D47,0)</f>
        <v>0.6875194516707019</v>
      </c>
      <c r="O47" s="4"/>
    </row>
    <row r="48" spans="1:15" ht="12.75" customHeight="1">
      <c r="A48" s="18"/>
      <c r="B48" s="364" t="s">
        <v>371</v>
      </c>
      <c r="C48" s="364" t="s">
        <v>372</v>
      </c>
      <c r="D48" s="44">
        <v>12570.2463002924</v>
      </c>
      <c r="E48" s="23"/>
      <c r="F48" s="46">
        <v>520.8376770039364</v>
      </c>
      <c r="G48" s="23"/>
      <c r="H48" s="85">
        <f t="shared" si="12"/>
        <v>0.04143416640864237</v>
      </c>
      <c r="I48" s="23"/>
      <c r="J48" s="54">
        <v>1.7618940786298556</v>
      </c>
      <c r="K48" s="23"/>
      <c r="L48" s="46">
        <f t="shared" si="13"/>
        <v>917.6608190405649</v>
      </c>
      <c r="M48" s="23"/>
      <c r="N48" s="83">
        <f t="shared" si="14"/>
        <v>0.07300261244835107</v>
      </c>
      <c r="O48" s="4"/>
    </row>
    <row r="49" spans="1:15" ht="12.75" customHeight="1">
      <c r="A49" s="18"/>
      <c r="B49" s="327" t="s">
        <v>319</v>
      </c>
      <c r="C49" s="327" t="s">
        <v>377</v>
      </c>
      <c r="D49" s="44">
        <v>12570.2463002924</v>
      </c>
      <c r="E49" s="23"/>
      <c r="F49" s="46">
        <v>219.77104487704457</v>
      </c>
      <c r="G49" s="23"/>
      <c r="H49" s="85">
        <f t="shared" si="12"/>
        <v>0.01748343187769777</v>
      </c>
      <c r="I49" s="23"/>
      <c r="J49" s="54">
        <v>1.7618940786298556</v>
      </c>
      <c r="K49" s="23"/>
      <c r="L49" s="46">
        <f t="shared" si="13"/>
        <v>387.2133026231611</v>
      </c>
      <c r="M49" s="23"/>
      <c r="N49" s="83">
        <f t="shared" si="14"/>
        <v>0.030803955099444155</v>
      </c>
      <c r="O49" s="4"/>
    </row>
    <row r="50" spans="1:15" ht="12.75" customHeight="1">
      <c r="A50" s="18"/>
      <c r="B50" s="327"/>
      <c r="C50" s="327" t="s">
        <v>378</v>
      </c>
      <c r="D50" s="44">
        <v>12570.2463002924</v>
      </c>
      <c r="E50" s="23"/>
      <c r="F50" s="46">
        <v>741.7272764600255</v>
      </c>
      <c r="G50" s="23"/>
      <c r="H50" s="85">
        <f t="shared" si="12"/>
        <v>0.05900658258722997</v>
      </c>
      <c r="I50" s="23"/>
      <c r="J50" s="54">
        <v>1.7618940786298556</v>
      </c>
      <c r="K50" s="23"/>
      <c r="L50" s="46">
        <f t="shared" si="13"/>
        <v>1306.8448963531687</v>
      </c>
      <c r="M50" s="23"/>
      <c r="N50" s="83">
        <f t="shared" si="14"/>
        <v>0.10396334846062402</v>
      </c>
      <c r="O50" s="4"/>
    </row>
    <row r="51" spans="1:15" ht="12.75" customHeight="1">
      <c r="A51" s="18"/>
      <c r="B51" s="327"/>
      <c r="C51" s="327" t="s">
        <v>379</v>
      </c>
      <c r="D51" s="44">
        <v>54.336586424979096</v>
      </c>
      <c r="E51" s="23"/>
      <c r="F51" s="46">
        <v>23.87228666392642</v>
      </c>
      <c r="G51" s="23"/>
      <c r="H51" s="85">
        <f t="shared" si="12"/>
        <v>0.43934093461844853</v>
      </c>
      <c r="I51" s="23"/>
      <c r="J51" s="54">
        <v>1.7618940786298556</v>
      </c>
      <c r="K51" s="23"/>
      <c r="L51" s="46">
        <f t="shared" si="13"/>
        <v>42.06044051652643</v>
      </c>
      <c r="M51" s="23"/>
      <c r="N51" s="83">
        <f t="shared" si="14"/>
        <v>0.774072191203951</v>
      </c>
      <c r="O51" s="4"/>
    </row>
    <row r="52" spans="1:15" ht="12.75" customHeight="1">
      <c r="A52" s="18"/>
      <c r="B52" s="364" t="s">
        <v>371</v>
      </c>
      <c r="C52" s="364" t="s">
        <v>372</v>
      </c>
      <c r="D52" s="44">
        <v>12570.2463002924</v>
      </c>
      <c r="E52" s="23"/>
      <c r="F52" s="46">
        <v>37.20269121456688</v>
      </c>
      <c r="G52" s="23"/>
      <c r="H52" s="85">
        <f t="shared" si="12"/>
        <v>0.0029595833149030264</v>
      </c>
      <c r="I52" s="23"/>
      <c r="J52" s="54">
        <v>1.7618940786298556</v>
      </c>
      <c r="K52" s="23"/>
      <c r="L52" s="46">
        <f t="shared" si="13"/>
        <v>65.54720136004035</v>
      </c>
      <c r="M52" s="23"/>
      <c r="N52" s="83">
        <f t="shared" si="14"/>
        <v>0.005214472317739362</v>
      </c>
      <c r="O52" s="4"/>
    </row>
    <row r="53" spans="1:15" ht="12.75" customHeight="1">
      <c r="A53" s="18"/>
      <c r="B53" s="18" t="s">
        <v>138</v>
      </c>
      <c r="C53" s="327" t="s">
        <v>380</v>
      </c>
      <c r="D53" s="44">
        <v>12570.2463002924</v>
      </c>
      <c r="E53" s="23"/>
      <c r="F53" s="46">
        <v>7844.354675278385</v>
      </c>
      <c r="G53" s="23"/>
      <c r="H53" s="85">
        <f t="shared" si="12"/>
        <v>0.6240414457985534</v>
      </c>
      <c r="I53" s="23"/>
      <c r="J53" s="54">
        <v>1.37715102157782</v>
      </c>
      <c r="K53" s="23"/>
      <c r="L53" s="46">
        <f t="shared" si="13"/>
        <v>10802.861054678377</v>
      </c>
      <c r="M53" s="23"/>
      <c r="N53" s="83">
        <f t="shared" si="14"/>
        <v>0.8593993145883775</v>
      </c>
      <c r="O53" s="4"/>
    </row>
    <row r="54" spans="1:15" ht="12.75" customHeight="1">
      <c r="A54" s="283"/>
      <c r="B54" s="283" t="s">
        <v>138</v>
      </c>
      <c r="C54" s="430" t="s">
        <v>182</v>
      </c>
      <c r="D54" s="434">
        <v>897.8747357351714</v>
      </c>
      <c r="E54" s="435"/>
      <c r="F54" s="438">
        <v>75.91821989128954</v>
      </c>
      <c r="G54" s="435"/>
      <c r="H54" s="436">
        <f t="shared" si="12"/>
        <v>0.08455324208351671</v>
      </c>
      <c r="I54" s="435"/>
      <c r="J54" s="437">
        <v>1.5205589342948984</v>
      </c>
      <c r="K54" s="435"/>
      <c r="L54" s="438">
        <f t="shared" si="13"/>
        <v>115.43812753146499</v>
      </c>
      <c r="M54" s="435"/>
      <c r="N54" s="172">
        <f t="shared" si="14"/>
        <v>0.12856818767369074</v>
      </c>
      <c r="O54" s="4"/>
    </row>
    <row r="55" spans="1:15" ht="12.75" customHeight="1">
      <c r="A55" s="18"/>
      <c r="B55" s="18"/>
      <c r="C55" s="18"/>
      <c r="D55" s="44">
        <v>12570.2463002924</v>
      </c>
      <c r="E55" s="23"/>
      <c r="F55" s="42">
        <f>SUM(F47:F54)</f>
        <v>15739.167611611883</v>
      </c>
      <c r="G55" s="23"/>
      <c r="H55" s="85">
        <f t="shared" si="12"/>
        <v>1.252096994411778</v>
      </c>
      <c r="I55" s="23"/>
      <c r="J55" s="23"/>
      <c r="K55" s="23"/>
      <c r="L55" s="42">
        <f>SUM(L47:L54)</f>
        <v>22279.914685846004</v>
      </c>
      <c r="M55" s="23"/>
      <c r="N55" s="83">
        <f t="shared" si="14"/>
        <v>1.772432628096376</v>
      </c>
      <c r="O55" s="4"/>
    </row>
    <row r="56" spans="1:15" ht="12.75" customHeight="1">
      <c r="A56" s="18"/>
      <c r="B56" s="18"/>
      <c r="C56" s="18"/>
      <c r="D56" s="44"/>
      <c r="E56" s="23"/>
      <c r="F56" s="42"/>
      <c r="G56" s="23"/>
      <c r="H56" s="85"/>
      <c r="I56" s="23"/>
      <c r="J56" s="23"/>
      <c r="K56" s="23"/>
      <c r="L56" s="42"/>
      <c r="M56" s="23"/>
      <c r="N56" s="83"/>
      <c r="O56" s="4"/>
    </row>
    <row r="57" spans="1:15" ht="12.75" customHeight="1">
      <c r="A57" s="327" t="s">
        <v>368</v>
      </c>
      <c r="B57" s="18" t="s">
        <v>138</v>
      </c>
      <c r="C57" s="327" t="s">
        <v>361</v>
      </c>
      <c r="D57" s="44">
        <v>1247.9265105317218</v>
      </c>
      <c r="E57" s="23"/>
      <c r="F57" s="46">
        <v>623.0062911060475</v>
      </c>
      <c r="G57" s="23"/>
      <c r="H57" s="85">
        <f aca="true" t="shared" si="15" ref="H57:H65">IF(D57&lt;&gt;0,F57/D57,0)</f>
        <v>0.4992331566388427</v>
      </c>
      <c r="I57" s="23"/>
      <c r="J57" s="54">
        <v>1.37715102157782</v>
      </c>
      <c r="K57" s="23"/>
      <c r="L57" s="46">
        <f aca="true" t="shared" si="16" ref="L57:L64">F57*J57</f>
        <v>857.973750246102</v>
      </c>
      <c r="M57" s="23"/>
      <c r="N57" s="83">
        <f aca="true" t="shared" si="17" ref="N57:N65">IF(D57&lt;&gt;0,L57/D57,0)</f>
        <v>0.687519451670702</v>
      </c>
      <c r="O57" s="4"/>
    </row>
    <row r="58" spans="1:15" ht="12.75" customHeight="1">
      <c r="A58" s="327"/>
      <c r="B58" s="364" t="s">
        <v>371</v>
      </c>
      <c r="C58" s="364" t="s">
        <v>372</v>
      </c>
      <c r="D58" s="44">
        <v>1247.9265105317218</v>
      </c>
      <c r="E58" s="23"/>
      <c r="F58" s="46">
        <v>51.706794703127755</v>
      </c>
      <c r="G58" s="23"/>
      <c r="H58" s="85">
        <f t="shared" si="15"/>
        <v>0.04143416640864237</v>
      </c>
      <c r="I58" s="23"/>
      <c r="J58" s="54">
        <v>1.7618940786298556</v>
      </c>
      <c r="K58" s="23"/>
      <c r="L58" s="46">
        <f t="shared" si="16"/>
        <v>91.10189541237037</v>
      </c>
      <c r="M58" s="23"/>
      <c r="N58" s="83">
        <f t="shared" si="17"/>
        <v>0.07300261244835106</v>
      </c>
      <c r="O58" s="4"/>
    </row>
    <row r="59" spans="1:15" ht="12.75" customHeight="1">
      <c r="A59" s="18"/>
      <c r="B59" s="327" t="s">
        <v>319</v>
      </c>
      <c r="C59" s="327" t="s">
        <v>377</v>
      </c>
      <c r="D59" s="44">
        <v>1247.9265105317218</v>
      </c>
      <c r="E59" s="23"/>
      <c r="F59" s="46">
        <v>21.818038135254447</v>
      </c>
      <c r="G59" s="23"/>
      <c r="H59" s="85">
        <f t="shared" si="15"/>
        <v>0.01748343187769777</v>
      </c>
      <c r="I59" s="23"/>
      <c r="J59" s="54">
        <v>1.7618940786298556</v>
      </c>
      <c r="K59" s="23"/>
      <c r="L59" s="46">
        <f t="shared" si="16"/>
        <v>38.441072197825186</v>
      </c>
      <c r="M59" s="23"/>
      <c r="N59" s="83">
        <f t="shared" si="17"/>
        <v>0.03080395509944416</v>
      </c>
      <c r="O59" s="4"/>
    </row>
    <row r="60" spans="1:15" ht="12.75" customHeight="1">
      <c r="A60" s="18"/>
      <c r="B60" s="327"/>
      <c r="C60" s="327" t="s">
        <v>378</v>
      </c>
      <c r="D60" s="44">
        <v>1247.9265105317218</v>
      </c>
      <c r="E60" s="23"/>
      <c r="F60" s="46">
        <v>73.63587870648377</v>
      </c>
      <c r="G60" s="23"/>
      <c r="H60" s="85">
        <f t="shared" si="15"/>
        <v>0.05900658258722998</v>
      </c>
      <c r="I60" s="23"/>
      <c r="J60" s="54">
        <v>1.7618940786298556</v>
      </c>
      <c r="K60" s="23"/>
      <c r="L60" s="46">
        <f t="shared" si="16"/>
        <v>129.73861866766</v>
      </c>
      <c r="M60" s="23"/>
      <c r="N60" s="83">
        <f t="shared" si="17"/>
        <v>0.10396334846062404</v>
      </c>
      <c r="O60" s="4"/>
    </row>
    <row r="61" spans="1:15" ht="12.75" customHeight="1">
      <c r="A61" s="18"/>
      <c r="B61" s="327"/>
      <c r="C61" s="327" t="s">
        <v>379</v>
      </c>
      <c r="D61" s="44">
        <v>5.394330792862205</v>
      </c>
      <c r="E61" s="23"/>
      <c r="F61" s="46">
        <v>2.369950332177158</v>
      </c>
      <c r="G61" s="23"/>
      <c r="H61" s="85">
        <f t="shared" si="15"/>
        <v>0.4393409346184486</v>
      </c>
      <c r="I61" s="23"/>
      <c r="J61" s="54">
        <v>1.7618940786298556</v>
      </c>
      <c r="K61" s="23"/>
      <c r="L61" s="46">
        <f t="shared" si="16"/>
        <v>4.175601456909794</v>
      </c>
      <c r="M61" s="23"/>
      <c r="N61" s="83">
        <f t="shared" si="17"/>
        <v>0.7740721912039511</v>
      </c>
      <c r="O61" s="4"/>
    </row>
    <row r="62" spans="1:15" ht="12.75" customHeight="1">
      <c r="A62" s="18"/>
      <c r="B62" s="364" t="s">
        <v>371</v>
      </c>
      <c r="C62" s="364" t="s">
        <v>372</v>
      </c>
      <c r="D62" s="44">
        <v>1247.9265105317218</v>
      </c>
      <c r="E62" s="23"/>
      <c r="F62" s="46">
        <v>3.6933424787948397</v>
      </c>
      <c r="G62" s="23"/>
      <c r="H62" s="85">
        <f t="shared" si="15"/>
        <v>0.0029595833149030264</v>
      </c>
      <c r="I62" s="23"/>
      <c r="J62" s="54">
        <v>1.7618940786298556</v>
      </c>
      <c r="K62" s="23"/>
      <c r="L62" s="46">
        <f t="shared" si="16"/>
        <v>6.507278243740741</v>
      </c>
      <c r="M62" s="23"/>
      <c r="N62" s="83">
        <f t="shared" si="17"/>
        <v>0.005214472317739361</v>
      </c>
      <c r="O62" s="4"/>
    </row>
    <row r="63" spans="1:15" ht="12.75" customHeight="1">
      <c r="A63" s="18"/>
      <c r="B63" s="18" t="s">
        <v>138</v>
      </c>
      <c r="C63" s="327" t="s">
        <v>380</v>
      </c>
      <c r="D63" s="44">
        <v>1247.9265105317218</v>
      </c>
      <c r="E63" s="23"/>
      <c r="F63" s="46">
        <v>778.7578638825593</v>
      </c>
      <c r="G63" s="23"/>
      <c r="H63" s="85">
        <f t="shared" si="15"/>
        <v>0.6240414457985534</v>
      </c>
      <c r="I63" s="23"/>
      <c r="J63" s="54">
        <v>1.37715102157782</v>
      </c>
      <c r="K63" s="23"/>
      <c r="L63" s="46">
        <f t="shared" si="16"/>
        <v>1072.4671878076274</v>
      </c>
      <c r="M63" s="23"/>
      <c r="N63" s="83">
        <f t="shared" si="17"/>
        <v>0.8593993145883776</v>
      </c>
      <c r="O63" s="4"/>
    </row>
    <row r="64" spans="1:15" ht="12.75" customHeight="1">
      <c r="A64" s="283"/>
      <c r="B64" s="283" t="s">
        <v>138</v>
      </c>
      <c r="C64" s="430" t="s">
        <v>182</v>
      </c>
      <c r="D64" s="434">
        <v>89.13760789512298</v>
      </c>
      <c r="E64" s="435"/>
      <c r="F64" s="438">
        <v>7.536873739101926</v>
      </c>
      <c r="G64" s="435"/>
      <c r="H64" s="436">
        <f t="shared" si="15"/>
        <v>0.08455324208351674</v>
      </c>
      <c r="I64" s="435"/>
      <c r="J64" s="437">
        <v>1.5205589342948984</v>
      </c>
      <c r="K64" s="435"/>
      <c r="L64" s="438">
        <f t="shared" si="16"/>
        <v>11.460260700644032</v>
      </c>
      <c r="M64" s="435"/>
      <c r="N64" s="172">
        <f t="shared" si="17"/>
        <v>0.12856818767369077</v>
      </c>
      <c r="O64" s="4"/>
    </row>
    <row r="65" spans="1:15" ht="12.75" customHeight="1">
      <c r="A65" s="16"/>
      <c r="B65" s="23"/>
      <c r="C65" s="334"/>
      <c r="D65" s="44">
        <v>1247.9265105317218</v>
      </c>
      <c r="E65" s="23"/>
      <c r="F65" s="42">
        <f>SUM(F57:F64)</f>
        <v>1562.5250330835468</v>
      </c>
      <c r="G65" s="23"/>
      <c r="H65" s="85">
        <f t="shared" si="15"/>
        <v>1.252096994411778</v>
      </c>
      <c r="I65" s="23"/>
      <c r="J65" s="23"/>
      <c r="K65" s="23"/>
      <c r="L65" s="42">
        <f>SUM(L57:L64)</f>
        <v>2211.8656647328794</v>
      </c>
      <c r="M65" s="23"/>
      <c r="N65" s="83">
        <f t="shared" si="17"/>
        <v>1.772432628096376</v>
      </c>
      <c r="O65" s="4"/>
    </row>
    <row r="66" spans="1:15" ht="4.5" customHeight="1">
      <c r="A66" s="16"/>
      <c r="B66" s="23"/>
      <c r="C66" s="23"/>
      <c r="D66" s="23"/>
      <c r="E66" s="23"/>
      <c r="F66" s="23"/>
      <c r="G66" s="23"/>
      <c r="H66" s="23"/>
      <c r="I66" s="23"/>
      <c r="J66" s="23"/>
      <c r="K66" s="23"/>
      <c r="L66" s="23"/>
      <c r="M66" s="23"/>
      <c r="N66" s="83"/>
      <c r="O66" s="4"/>
    </row>
    <row r="67" spans="1:15" ht="12.75" customHeight="1">
      <c r="A67" s="16"/>
      <c r="B67" s="23"/>
      <c r="C67" s="23" t="s">
        <v>369</v>
      </c>
      <c r="D67" s="44">
        <f>SUM(D55,D65)</f>
        <v>13818.172810824122</v>
      </c>
      <c r="E67" s="23"/>
      <c r="F67" s="46">
        <f>SUM(F55,F65)</f>
        <v>17301.69264469543</v>
      </c>
      <c r="G67" s="23"/>
      <c r="H67" s="85">
        <f>IF(D67&lt;&gt;0,F67/D67,0)</f>
        <v>1.252096994411778</v>
      </c>
      <c r="I67" s="23"/>
      <c r="J67" s="23"/>
      <c r="K67" s="23"/>
      <c r="L67" s="46">
        <f>SUM(L55,L65)</f>
        <v>24491.780350578883</v>
      </c>
      <c r="M67" s="23"/>
      <c r="N67" s="83">
        <f>IF(D67&lt;&gt;0,L67/D67,0)</f>
        <v>1.7724326280963758</v>
      </c>
      <c r="O67" s="4"/>
    </row>
    <row r="68" spans="1:15" ht="12.75" customHeight="1">
      <c r="A68" s="16"/>
      <c r="B68" s="23"/>
      <c r="C68" s="23"/>
      <c r="D68" s="44"/>
      <c r="E68" s="23"/>
      <c r="F68" s="46"/>
      <c r="G68" s="23"/>
      <c r="H68" s="85"/>
      <c r="I68" s="23"/>
      <c r="J68" s="23"/>
      <c r="K68" s="23"/>
      <c r="L68" s="46"/>
      <c r="M68" s="23"/>
      <c r="N68" s="83"/>
      <c r="O68" s="4"/>
    </row>
    <row r="69" spans="1:15" ht="15.75" customHeight="1">
      <c r="A69" s="158" t="s">
        <v>90</v>
      </c>
      <c r="B69" s="23"/>
      <c r="C69" s="23"/>
      <c r="D69" s="44"/>
      <c r="E69" s="23"/>
      <c r="F69" s="46"/>
      <c r="G69" s="23"/>
      <c r="H69" s="85"/>
      <c r="I69" s="23"/>
      <c r="J69" s="23"/>
      <c r="K69" s="23"/>
      <c r="L69" s="46"/>
      <c r="M69" s="23"/>
      <c r="N69" s="83"/>
      <c r="O69" s="4"/>
    </row>
    <row r="70" spans="1:15" ht="15.75" customHeight="1">
      <c r="A70" s="158" t="s">
        <v>787</v>
      </c>
      <c r="B70" s="23"/>
      <c r="C70" s="23"/>
      <c r="D70" s="44"/>
      <c r="E70" s="23"/>
      <c r="F70" s="46"/>
      <c r="G70" s="23"/>
      <c r="H70" s="85"/>
      <c r="I70" s="23"/>
      <c r="J70" s="23"/>
      <c r="K70" s="23"/>
      <c r="L70" s="46"/>
      <c r="M70" s="23"/>
      <c r="N70" s="83"/>
      <c r="O70" s="4"/>
    </row>
    <row r="71" spans="1:15" ht="4.5" customHeight="1">
      <c r="A71" s="16"/>
      <c r="B71" s="23"/>
      <c r="C71" s="23"/>
      <c r="D71" s="23"/>
      <c r="E71" s="23"/>
      <c r="F71" s="23"/>
      <c r="G71" s="23"/>
      <c r="H71" s="23"/>
      <c r="I71" s="23"/>
      <c r="J71" s="23"/>
      <c r="K71" s="23"/>
      <c r="L71" s="23"/>
      <c r="M71" s="23"/>
      <c r="N71" s="83"/>
      <c r="O71" s="4"/>
    </row>
    <row r="72" spans="1:15" ht="12.75" customHeight="1">
      <c r="A72" s="91" t="s">
        <v>536</v>
      </c>
      <c r="B72" s="23"/>
      <c r="C72" s="334"/>
      <c r="D72" s="44"/>
      <c r="E72" s="23"/>
      <c r="F72" s="42"/>
      <c r="G72" s="23"/>
      <c r="H72" s="85"/>
      <c r="I72" s="23"/>
      <c r="J72" s="23"/>
      <c r="K72" s="23"/>
      <c r="L72" s="42"/>
      <c r="M72" s="23"/>
      <c r="N72" s="83"/>
      <c r="O72" s="4"/>
    </row>
    <row r="73" spans="1:15" ht="25.5" customHeight="1">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c r="A74" s="11" t="s">
        <v>425</v>
      </c>
      <c r="B74" s="2" t="s">
        <v>530</v>
      </c>
      <c r="C74" s="188" t="s">
        <v>535</v>
      </c>
      <c r="D74" s="44">
        <f>'Table 3.26-REC Detail NonACS'!E43</f>
        <v>35941.744</v>
      </c>
      <c r="E74" s="20" t="s">
        <v>239</v>
      </c>
      <c r="F74" s="46">
        <f>'Table 3.26-REC Detail NonACS'!F43</f>
        <v>10318.372609720729</v>
      </c>
      <c r="G74" s="20" t="s">
        <v>239</v>
      </c>
      <c r="H74" s="85">
        <f>IF(D74&lt;&gt;0,F74/D74,0)</f>
        <v>0.28708603037517405</v>
      </c>
      <c r="I74" s="23"/>
      <c r="J74" s="228">
        <f>'Table 3.26-REC Detail NonACS'!I43</f>
        <v>1.3504200021808366</v>
      </c>
      <c r="K74" s="23"/>
      <c r="L74" s="46">
        <f>F74*J74</f>
        <v>13934.13676212175</v>
      </c>
      <c r="M74" s="23"/>
      <c r="N74" s="83">
        <f>IF(D74&lt;&gt;0,L74/D74,0)</f>
        <v>0.3876867177653302</v>
      </c>
      <c r="O74" s="4"/>
    </row>
    <row r="75" spans="1:15" ht="12.75" customHeight="1">
      <c r="A75" s="11" t="s">
        <v>426</v>
      </c>
      <c r="B75" s="2" t="s">
        <v>530</v>
      </c>
      <c r="C75" s="188" t="s">
        <v>535</v>
      </c>
      <c r="D75" s="44">
        <f>'Table 3.26-REC Detail NonACS'!E44</f>
        <v>13818.17281082412</v>
      </c>
      <c r="E75" s="20" t="s">
        <v>239</v>
      </c>
      <c r="F75" s="46">
        <f>'Table 3.26-REC Detail NonACS'!F44</f>
        <v>3967.004379297658</v>
      </c>
      <c r="G75" s="20" t="s">
        <v>239</v>
      </c>
      <c r="H75" s="85">
        <f>IF(D75&lt;&gt;0,F75/D75,0)</f>
        <v>0.2870860303751741</v>
      </c>
      <c r="I75" s="23"/>
      <c r="J75" s="228">
        <f>'Table 3.26-REC Detail NonACS'!I44</f>
        <v>1.3504200021808366</v>
      </c>
      <c r="K75" s="23"/>
      <c r="L75" s="46">
        <f>F75*J75</f>
        <v>5357.122062542531</v>
      </c>
      <c r="M75" s="23"/>
      <c r="N75" s="83">
        <f>IF(D75&lt;&gt;0,L75/D75,0)</f>
        <v>0.38768671776533026</v>
      </c>
      <c r="O75" s="4"/>
    </row>
    <row r="76" spans="2:15" ht="12.75" customHeight="1">
      <c r="B76" s="2"/>
      <c r="C76" s="188"/>
      <c r="D76" s="44"/>
      <c r="E76" s="23"/>
      <c r="F76" s="46"/>
      <c r="G76" s="23"/>
      <c r="H76" s="85"/>
      <c r="I76" s="23"/>
      <c r="J76" s="228"/>
      <c r="K76" s="23"/>
      <c r="L76" s="46"/>
      <c r="M76" s="23"/>
      <c r="N76" s="83"/>
      <c r="O76" s="4"/>
    </row>
    <row r="77" spans="1:15" ht="12.75" customHeight="1">
      <c r="A77" s="16"/>
      <c r="B77" s="23"/>
      <c r="C77" s="334" t="s">
        <v>537</v>
      </c>
      <c r="D77" s="44">
        <f>D74</f>
        <v>35941.744</v>
      </c>
      <c r="E77" s="23"/>
      <c r="F77" s="46">
        <f>SUM(F74:F75)</f>
        <v>14285.376989018387</v>
      </c>
      <c r="G77" s="23"/>
      <c r="H77" s="85"/>
      <c r="I77" s="23"/>
      <c r="J77" s="23"/>
      <c r="K77" s="23"/>
      <c r="L77" s="46">
        <f>SUM(L74:L75)</f>
        <v>19291.25882466428</v>
      </c>
      <c r="M77" s="23"/>
      <c r="N77" s="83">
        <f>IF(D77&lt;&gt;0,L77/D77,0)</f>
        <v>0.53673686019978</v>
      </c>
      <c r="O77" s="4"/>
    </row>
    <row r="78" spans="1:15" ht="12.75" customHeight="1">
      <c r="A78" s="16"/>
      <c r="B78" s="23"/>
      <c r="C78" s="23"/>
      <c r="D78" s="23"/>
      <c r="E78" s="23"/>
      <c r="F78" s="23"/>
      <c r="G78" s="23"/>
      <c r="H78" s="23"/>
      <c r="I78" s="23"/>
      <c r="J78" s="23"/>
      <c r="K78" s="23"/>
      <c r="L78" s="23"/>
      <c r="M78" s="23"/>
      <c r="N78" s="83"/>
      <c r="O78" s="4"/>
    </row>
    <row r="79" spans="1:15" ht="12.75" customHeight="1">
      <c r="A79" s="16"/>
      <c r="B79" s="23"/>
      <c r="C79" s="429" t="s">
        <v>269</v>
      </c>
      <c r="D79" s="44">
        <f>D40</f>
        <v>35941.744</v>
      </c>
      <c r="E79" s="23"/>
      <c r="F79" s="46">
        <f>SUM(F40,F67,F77)</f>
        <v>58782.18661998052</v>
      </c>
      <c r="G79" s="23"/>
      <c r="H79" s="85">
        <f>IF(D79&lt;&gt;0,F79/D79,0)</f>
        <v>1.6354850955474094</v>
      </c>
      <c r="I79" s="23"/>
      <c r="J79" s="23"/>
      <c r="K79" s="23"/>
      <c r="L79" s="46">
        <f>SUM(L40,L67,L77)</f>
        <v>82273.06317066035</v>
      </c>
      <c r="M79" s="23"/>
      <c r="N79" s="83">
        <f>IF(D79&lt;&gt;0,L79/D79,0)</f>
        <v>2.2890670850769053</v>
      </c>
      <c r="O79" s="4"/>
    </row>
    <row r="80" spans="1:15" ht="12.75" hidden="1">
      <c r="A80" s="16"/>
      <c r="B80" s="23"/>
      <c r="C80" s="23"/>
      <c r="D80" s="23"/>
      <c r="E80" s="23"/>
      <c r="F80" s="23"/>
      <c r="G80" s="23"/>
      <c r="H80" s="23"/>
      <c r="I80" s="2"/>
      <c r="J80" s="23"/>
      <c r="K80" s="2"/>
      <c r="L80" s="2"/>
      <c r="M80" s="2"/>
      <c r="N80" s="83"/>
      <c r="O80" s="4"/>
    </row>
    <row r="81" spans="2:15" ht="12.75" hidden="1">
      <c r="B81" s="439"/>
      <c r="C81" s="127" t="s">
        <v>188</v>
      </c>
      <c r="D81" s="440">
        <v>0</v>
      </c>
      <c r="E81" s="4"/>
      <c r="F81" s="440">
        <v>0</v>
      </c>
      <c r="G81" s="439"/>
      <c r="H81" s="440">
        <v>0</v>
      </c>
      <c r="I81" s="2"/>
      <c r="J81" s="4"/>
      <c r="K81" s="2"/>
      <c r="L81" s="2"/>
      <c r="M81" s="2"/>
      <c r="N81" s="58"/>
      <c r="O81" s="4"/>
    </row>
    <row r="82" spans="2:15" ht="12.75" hidden="1">
      <c r="B82" s="439"/>
      <c r="C82" s="127" t="s">
        <v>188</v>
      </c>
      <c r="D82" s="440">
        <v>0</v>
      </c>
      <c r="E82" s="4"/>
      <c r="F82" s="440">
        <v>0</v>
      </c>
      <c r="G82" s="439"/>
      <c r="H82" s="440">
        <v>0</v>
      </c>
      <c r="I82" s="2"/>
      <c r="J82" s="4"/>
      <c r="K82" s="2"/>
      <c r="L82" s="2"/>
      <c r="M82" s="2"/>
      <c r="N82" s="58"/>
      <c r="O82" s="4"/>
    </row>
    <row r="83" spans="2:15" ht="12.75" hidden="1">
      <c r="B83" s="439"/>
      <c r="C83" s="127" t="s">
        <v>188</v>
      </c>
      <c r="D83" s="440">
        <v>0</v>
      </c>
      <c r="E83" s="4"/>
      <c r="F83" s="440">
        <v>0</v>
      </c>
      <c r="G83" s="439"/>
      <c r="H83" s="515"/>
      <c r="I83" s="2"/>
      <c r="J83" s="4"/>
      <c r="K83" s="2"/>
      <c r="L83" s="2"/>
      <c r="M83" s="2"/>
      <c r="N83" s="58"/>
      <c r="O83" s="4"/>
    </row>
    <row r="84" spans="1:3" ht="12.75">
      <c r="A84" s="141"/>
      <c r="B84" s="141"/>
      <c r="C84" s="141"/>
    </row>
    <row r="85" ht="12.75">
      <c r="A85" s="11" t="s">
        <v>235</v>
      </c>
    </row>
    <row r="86" spans="1:5" ht="12.75">
      <c r="A86" s="592" t="s">
        <v>796</v>
      </c>
      <c r="B86" s="593"/>
      <c r="C86" s="593"/>
      <c r="D86" s="25"/>
      <c r="E86" s="594"/>
    </row>
    <row r="87" spans="1:8" ht="12.75" customHeight="1">
      <c r="A87" s="25" t="s">
        <v>795</v>
      </c>
      <c r="D87" s="25"/>
      <c r="H87" s="90"/>
    </row>
    <row r="88" spans="1:3" ht="12.75" customHeight="1">
      <c r="A88" s="609" t="s">
        <v>94</v>
      </c>
      <c r="B88" s="610"/>
      <c r="C88" s="610"/>
    </row>
    <row r="89" spans="8:13" ht="12.75">
      <c r="H89" s="78"/>
      <c r="I89" s="462"/>
      <c r="J89" s="140"/>
      <c r="K89" s="462"/>
      <c r="L89" s="462"/>
      <c r="M89" s="462"/>
    </row>
  </sheetData>
  <sheetProtection/>
  <mergeCells count="1">
    <mergeCell ref="A88:C88"/>
  </mergeCells>
  <printOptions horizontalCentered="1"/>
  <pageMargins left="0.75" right="0.75" top="1" bottom="1" header="0.5" footer="0.5"/>
  <pageSetup fitToHeight="2" horizontalDpi="600" verticalDpi="600" orientation="landscape" scale="87" r:id="rId3"/>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sheetPr codeName="Sheet35"/>
  <dimension ref="A1:R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7109375" style="11" customWidth="1"/>
    <col min="14" max="14" width="11.140625" style="11" hidden="1" customWidth="1"/>
    <col min="15" max="18" width="0" style="11" hidden="1" customWidth="1"/>
    <col min="19" max="16384" width="9.140625" style="11" customWidth="1"/>
  </cols>
  <sheetData>
    <row r="1" ht="15.75" customHeight="1">
      <c r="A1" s="158" t="s">
        <v>62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6" ht="12.75">
      <c r="A7" s="337" t="s">
        <v>135</v>
      </c>
      <c r="B7" s="135">
        <v>857.1925626249079</v>
      </c>
      <c r="C7" s="46">
        <v>32817.44549833788</v>
      </c>
      <c r="D7" s="135">
        <v>573684.7596797425</v>
      </c>
      <c r="E7" s="135"/>
      <c r="F7" s="83">
        <f>C7/D7</f>
        <v>0.05720466675227368</v>
      </c>
      <c r="G7" s="159"/>
      <c r="H7" s="54">
        <v>1.3882853153395636</v>
      </c>
      <c r="I7" s="72"/>
      <c r="J7" s="46">
        <f>C7*H7</f>
        <v>45559.97767229895</v>
      </c>
      <c r="K7" s="83">
        <f>F7*(H7)</f>
        <v>0.07941639882107492</v>
      </c>
      <c r="N7" s="138">
        <f>B7-'Table 3.15-Route UAA NoPARS'!B7-'Table 3.16-Route UAA PARS'!B7</f>
        <v>0</v>
      </c>
      <c r="O7" s="138">
        <f>C7-'Table 3.15-Route UAA NoPARS'!C7-'Table 3.16-Route UAA PARS'!C7</f>
        <v>0</v>
      </c>
      <c r="P7" s="138">
        <f>D7-'Table 3.15-Route UAA NoPARS'!D7-'Table 3.16-Route UAA PARS'!D7</f>
        <v>0</v>
      </c>
    </row>
    <row r="8" spans="1:16" ht="12.75" customHeight="1">
      <c r="A8" s="338" t="s">
        <v>136</v>
      </c>
      <c r="B8" s="135">
        <v>307.6807316312611</v>
      </c>
      <c r="C8" s="46">
        <v>7009.243879668932</v>
      </c>
      <c r="D8" s="135">
        <v>214780.01643334606</v>
      </c>
      <c r="E8" s="135"/>
      <c r="F8" s="83">
        <f>C8/D8</f>
        <v>0.03263452529739494</v>
      </c>
      <c r="G8" s="159"/>
      <c r="H8" s="54">
        <v>1.280106436830296</v>
      </c>
      <c r="I8" s="72"/>
      <c r="J8" s="46">
        <f>C8*H8</f>
        <v>8972.578207677556</v>
      </c>
      <c r="K8" s="83">
        <f>F8*(H8)</f>
        <v>0.04177566589609639</v>
      </c>
      <c r="N8" s="138">
        <f>B8-'Table 3.15-Route UAA NoPARS'!B8-'Table 3.16-Route UAA PARS'!B8</f>
        <v>0</v>
      </c>
      <c r="O8" s="138">
        <f>C8-'Table 3.15-Route UAA NoPARS'!C8-'Table 3.16-Route UAA PARS'!C8</f>
        <v>0</v>
      </c>
      <c r="P8" s="138">
        <f>D8-'Table 3.15-Route UAA NoPARS'!D8-'Table 3.16-Route UAA PARS'!D8</f>
        <v>0</v>
      </c>
    </row>
    <row r="9" spans="1:16" ht="12.75">
      <c r="A9" s="337" t="s">
        <v>137</v>
      </c>
      <c r="B9" s="135">
        <v>215.41522105823412</v>
      </c>
      <c r="C9" s="46">
        <v>6160.5771673822965</v>
      </c>
      <c r="D9" s="135">
        <v>149184.5886319176</v>
      </c>
      <c r="E9" s="135"/>
      <c r="F9" s="83">
        <f>C9/D9</f>
        <v>0.04129499718353789</v>
      </c>
      <c r="G9" s="159"/>
      <c r="H9" s="54">
        <v>1.5205589342948984</v>
      </c>
      <c r="I9" s="48"/>
      <c r="J9" s="46">
        <f>C9*H9</f>
        <v>9367.52065227631</v>
      </c>
      <c r="K9" s="83">
        <f>F9*(H9)</f>
        <v>0.06279147690911122</v>
      </c>
      <c r="N9" s="138">
        <f>B9-'Table 3.15-Route UAA NoPARS'!B9-'Table 3.16-Route UAA PARS'!B9</f>
        <v>0</v>
      </c>
      <c r="O9" s="138">
        <f>C9-'Table 3.15-Route UAA NoPARS'!C9-'Table 3.16-Route UAA PARS'!C9</f>
        <v>0</v>
      </c>
      <c r="P9" s="138">
        <f>D9-'Table 3.15-Route UAA NoPARS'!D9-'Table 3.16-Route UAA PARS'!D9</f>
        <v>0</v>
      </c>
    </row>
    <row r="10" spans="1:16" ht="12.75">
      <c r="A10" s="337" t="s">
        <v>107</v>
      </c>
      <c r="B10" s="135">
        <v>5.938014772952838</v>
      </c>
      <c r="C10" s="46">
        <v>227.14391010237844</v>
      </c>
      <c r="D10" s="135">
        <v>4167.622912882268</v>
      </c>
      <c r="E10" s="135"/>
      <c r="F10" s="83">
        <f>C10/D10</f>
        <v>0.054502030258128366</v>
      </c>
      <c r="G10" s="159"/>
      <c r="H10" s="54">
        <v>1.280106436830296</v>
      </c>
      <c r="I10" s="72"/>
      <c r="J10" s="46">
        <f>C10*H10</f>
        <v>290.7683814088567</v>
      </c>
      <c r="K10" s="83">
        <f>F10*(H10)</f>
        <v>0.06976839975374967</v>
      </c>
      <c r="N10" s="138">
        <f>B10-'Table 3.15-Route UAA NoPARS'!B10-'Table 3.16-Route UAA PARS'!B10</f>
        <v>0</v>
      </c>
      <c r="O10" s="138">
        <f>C10-'Table 3.15-Route UAA NoPARS'!C10-'Table 3.16-Route UAA PARS'!C10</f>
        <v>0</v>
      </c>
      <c r="P10" s="138">
        <f>D10-'Table 3.15-Route UAA NoPARS'!D10-'Table 3.16-Route UAA PARS'!D10</f>
        <v>0</v>
      </c>
    </row>
    <row r="11" spans="1:16" ht="12.75">
      <c r="A11" s="337" t="s">
        <v>277</v>
      </c>
      <c r="B11" s="135">
        <f>SUM(B7:B10)</f>
        <v>1386.2265300873557</v>
      </c>
      <c r="C11" s="46">
        <f>SUM(C7:C10)</f>
        <v>46214.41045549149</v>
      </c>
      <c r="D11" s="135">
        <f>SUM(D7:D10)</f>
        <v>941816.9876578884</v>
      </c>
      <c r="E11" s="135"/>
      <c r="F11" s="83">
        <f>C11/D11</f>
        <v>0.04906941694735995</v>
      </c>
      <c r="G11" s="159"/>
      <c r="H11" s="54"/>
      <c r="I11" s="72"/>
      <c r="J11" s="46">
        <f>SUM(J7:J10)</f>
        <v>64190.84491366168</v>
      </c>
      <c r="K11" s="83">
        <f>SUMPRODUCT(K7:K10,D7:D10)/D11</f>
        <v>0.0681563889320913</v>
      </c>
      <c r="L11" s="84"/>
      <c r="N11" s="138">
        <f>B11-'Table 3.15-Route UAA NoPARS'!B11-'Table 3.16-Route UAA PARS'!B11</f>
        <v>0</v>
      </c>
      <c r="O11" s="138">
        <f>C11-'Table 3.15-Route UAA NoPARS'!C11-'Table 3.16-Route UAA PARS'!C11</f>
        <v>0</v>
      </c>
      <c r="P11" s="138">
        <f>D11-'Table 3.15-Route UAA NoPARS'!D11-'Table 3.16-Route UAA PARS'!D11</f>
        <v>0</v>
      </c>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6" ht="12.75">
      <c r="A14" s="337" t="s">
        <v>135</v>
      </c>
      <c r="B14" s="135">
        <v>72.80771790833043</v>
      </c>
      <c r="C14" s="46">
        <v>2800.6554937840133</v>
      </c>
      <c r="D14" s="135">
        <v>48610.27938043242</v>
      </c>
      <c r="E14" s="135"/>
      <c r="F14" s="83">
        <f>C14/D14</f>
        <v>0.057614470220703755</v>
      </c>
      <c r="G14" s="159"/>
      <c r="H14" s="54">
        <v>1.3882853153395636</v>
      </c>
      <c r="I14" s="72"/>
      <c r="J14" s="46">
        <f>C14*H14</f>
        <v>3888.10889534542</v>
      </c>
      <c r="K14" s="83">
        <f>F14*(H14)</f>
        <v>0.0799853229584716</v>
      </c>
      <c r="L14" s="84"/>
      <c r="N14" s="138">
        <f>B14-'Table 3.15-Route UAA NoPARS'!B14-'Table 3.16-Route UAA PARS'!B14</f>
        <v>0</v>
      </c>
      <c r="O14" s="138">
        <f>C14-'Table 3.15-Route UAA NoPARS'!C14-'Table 3.16-Route UAA PARS'!C14</f>
        <v>0</v>
      </c>
      <c r="P14" s="138">
        <f>D14-'Table 3.15-Route UAA NoPARS'!D14-'Table 3.16-Route UAA PARS'!D14</f>
        <v>0</v>
      </c>
    </row>
    <row r="15" spans="1:16" ht="12.75">
      <c r="A15" s="338" t="s">
        <v>136</v>
      </c>
      <c r="B15" s="135">
        <v>41.50147880781399</v>
      </c>
      <c r="C15" s="46">
        <v>980.7145963791755</v>
      </c>
      <c r="D15" s="135">
        <v>27850.71713492467</v>
      </c>
      <c r="E15" s="135"/>
      <c r="F15" s="83">
        <f>C15/D15</f>
        <v>0.03521326189297165</v>
      </c>
      <c r="G15" s="159"/>
      <c r="H15" s="54">
        <v>1.280106436830296</v>
      </c>
      <c r="I15" s="72"/>
      <c r="J15" s="46">
        <f>C15*H15</f>
        <v>1255.4190675184082</v>
      </c>
      <c r="K15" s="83">
        <f>F15*(H15)</f>
        <v>0.04507672321098398</v>
      </c>
      <c r="L15" s="84"/>
      <c r="N15" s="138">
        <f>B15-'Table 3.15-Route UAA NoPARS'!B15-'Table 3.16-Route UAA PARS'!B15</f>
        <v>0</v>
      </c>
      <c r="O15" s="138">
        <f>C15-'Table 3.15-Route UAA NoPARS'!C15-'Table 3.16-Route UAA PARS'!C15</f>
        <v>0</v>
      </c>
      <c r="P15" s="138">
        <f>D15-'Table 3.15-Route UAA NoPARS'!D15-'Table 3.16-Route UAA PARS'!D15</f>
        <v>0</v>
      </c>
    </row>
    <row r="16" spans="1:16" ht="12.75">
      <c r="A16" s="337" t="s">
        <v>137</v>
      </c>
      <c r="B16" s="135">
        <v>36.406229848527765</v>
      </c>
      <c r="C16" s="46">
        <v>521.5305456512806</v>
      </c>
      <c r="D16" s="135">
        <v>13574.594646932326</v>
      </c>
      <c r="E16" s="135"/>
      <c r="F16" s="83">
        <f>C16/D16</f>
        <v>0.03841960362102889</v>
      </c>
      <c r="G16" s="159"/>
      <c r="H16" s="54">
        <v>1.5205589342948984</v>
      </c>
      <c r="I16" s="72"/>
      <c r="J16" s="46">
        <f>C16*H16</f>
        <v>793.017930697748</v>
      </c>
      <c r="K16" s="83">
        <f>F16*(H16)</f>
        <v>0.05841927153802411</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c r="A17" s="337" t="s">
        <v>107</v>
      </c>
      <c r="B17" s="135">
        <v>0.7134532568560101</v>
      </c>
      <c r="C17" s="46">
        <v>27.291370707884525</v>
      </c>
      <c r="D17" s="135">
        <v>492.22024342128714</v>
      </c>
      <c r="E17" s="135"/>
      <c r="F17" s="83">
        <f>C17/D17</f>
        <v>0.05544544555540775</v>
      </c>
      <c r="G17" s="159"/>
      <c r="H17" s="54">
        <v>1.280106436830296</v>
      </c>
      <c r="I17" s="72"/>
      <c r="J17" s="46">
        <f>C17*H17</f>
        <v>34.93585931308477</v>
      </c>
      <c r="K17" s="83">
        <f>F17*(H17)</f>
        <v>0.07097607174840118</v>
      </c>
      <c r="L17" s="84"/>
      <c r="N17" s="138">
        <f>B17-'Table 3.15-Route UAA NoPARS'!B17-'Table 3.16-Route UAA PARS'!B17</f>
        <v>0</v>
      </c>
      <c r="O17" s="138">
        <f>C17-'Table 3.15-Route UAA NoPARS'!C17-'Table 3.16-Route UAA PARS'!C17</f>
        <v>0</v>
      </c>
      <c r="P17" s="138">
        <f>D17-'Table 3.15-Route UAA NoPARS'!D17-'Table 3.16-Route UAA PARS'!D17</f>
        <v>0</v>
      </c>
    </row>
    <row r="18" spans="1:16" ht="12.75">
      <c r="A18" s="337" t="s">
        <v>277</v>
      </c>
      <c r="B18" s="135">
        <f>SUM(B14:B17)</f>
        <v>151.4288798215282</v>
      </c>
      <c r="C18" s="46">
        <f>SUM(C14:C17)</f>
        <v>4330.192006522353</v>
      </c>
      <c r="D18" s="135">
        <f>SUM(D14:D17)</f>
        <v>90527.81140571069</v>
      </c>
      <c r="E18" s="135"/>
      <c r="F18" s="83">
        <f>C18/D18</f>
        <v>0.047832726090285174</v>
      </c>
      <c r="G18" s="159"/>
      <c r="H18" s="54"/>
      <c r="I18" s="72"/>
      <c r="J18" s="46">
        <f>SUM(J14:J17)</f>
        <v>5971.481752874661</v>
      </c>
      <c r="K18" s="83">
        <f>SUMPRODUCT(K14:K17,D14:D17)/D18</f>
        <v>0.06596295282245128</v>
      </c>
      <c r="L18" s="84"/>
      <c r="N18" s="138">
        <f>B18-'Table 3.15-Route UAA NoPARS'!B18-'Table 3.16-Route UAA PARS'!B18</f>
        <v>0</v>
      </c>
      <c r="O18" s="138">
        <f>C18-'Table 3.15-Route UAA NoPARS'!C18-'Table 3.16-Route UAA PARS'!C18</f>
        <v>0</v>
      </c>
      <c r="P18" s="138">
        <f>D18-'Table 3.15-Route UAA NoPARS'!D18-'Table 3.16-Route UAA PARS'!D18</f>
        <v>0</v>
      </c>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6" ht="12.75" customHeight="1">
      <c r="A21" s="337" t="s">
        <v>135</v>
      </c>
      <c r="B21" s="135">
        <v>311.3542596230623</v>
      </c>
      <c r="C21" s="46">
        <v>11950.782848894067</v>
      </c>
      <c r="D21" s="135">
        <v>195830.72592268616</v>
      </c>
      <c r="E21" s="135"/>
      <c r="F21" s="83">
        <f>C21/D21</f>
        <v>0.061026086650019504</v>
      </c>
      <c r="G21" s="159"/>
      <c r="H21" s="54">
        <v>1.3882853153395636</v>
      </c>
      <c r="I21" s="72"/>
      <c r="J21" s="46">
        <f>C21*H21</f>
        <v>16591.096335931546</v>
      </c>
      <c r="K21" s="83">
        <f>F21*(H21)</f>
        <v>0.08472161994886186</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c r="A22" s="338" t="s">
        <v>136</v>
      </c>
      <c r="B22" s="135">
        <v>134.97590756715758</v>
      </c>
      <c r="C22" s="46">
        <v>3214.814809799119</v>
      </c>
      <c r="D22" s="135">
        <v>90134.41281022866</v>
      </c>
      <c r="E22" s="135"/>
      <c r="F22" s="83">
        <f>C22/D22</f>
        <v>0.035666896910591446</v>
      </c>
      <c r="G22" s="159"/>
      <c r="H22" s="54">
        <v>1.280106436830296</v>
      </c>
      <c r="I22" s="72"/>
      <c r="J22" s="46">
        <f>C22*H22</f>
        <v>4115.305131241215</v>
      </c>
      <c r="K22" s="83">
        <f>F22*(H22)</f>
        <v>0.045657424317010704</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c r="A23" s="337" t="s">
        <v>137</v>
      </c>
      <c r="B23" s="135">
        <v>60.64797649722088</v>
      </c>
      <c r="C23" s="46">
        <v>1903.96643007388</v>
      </c>
      <c r="D23" s="135">
        <v>39723.051901436935</v>
      </c>
      <c r="E23" s="135"/>
      <c r="F23" s="83">
        <f>C23/D23</f>
        <v>0.04793102087921412</v>
      </c>
      <c r="G23" s="159"/>
      <c r="H23" s="54">
        <v>1.5205589342948984</v>
      </c>
      <c r="I23" s="72"/>
      <c r="J23" s="46">
        <f>C23*H23</f>
        <v>2895.093165846401</v>
      </c>
      <c r="K23" s="83">
        <f>F23*(H23)</f>
        <v>0.07288194202776435</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c r="A24" s="337" t="s">
        <v>107</v>
      </c>
      <c r="B24" s="135">
        <v>1.8936538024323268</v>
      </c>
      <c r="C24" s="46">
        <v>72.43699207754257</v>
      </c>
      <c r="D24" s="135">
        <v>1306.4552255271324</v>
      </c>
      <c r="E24" s="135"/>
      <c r="F24" s="83">
        <f>C24/D24</f>
        <v>0.05544544555540775</v>
      </c>
      <c r="G24" s="159"/>
      <c r="H24" s="54">
        <v>1.280106436830296</v>
      </c>
      <c r="I24" s="72"/>
      <c r="J24" s="46">
        <f>C24*H24</f>
        <v>92.72705982308739</v>
      </c>
      <c r="K24" s="83">
        <f>F24*(H24)</f>
        <v>0.07097607174840118</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c r="A25" s="337" t="s">
        <v>277</v>
      </c>
      <c r="B25" s="135">
        <f>SUM(B21:B24)</f>
        <v>508.8717974898731</v>
      </c>
      <c r="C25" s="46">
        <f>SUM(C21:C24)</f>
        <v>17142.00108084461</v>
      </c>
      <c r="D25" s="135">
        <f>SUM(D21:D24)</f>
        <v>326994.64585987886</v>
      </c>
      <c r="E25" s="135"/>
      <c r="F25" s="83">
        <f>C25/D25</f>
        <v>0.052422880000885894</v>
      </c>
      <c r="G25" s="159"/>
      <c r="H25" s="54"/>
      <c r="I25" s="72"/>
      <c r="J25" s="46">
        <f>SUM(J21:J24)</f>
        <v>23694.22169284225</v>
      </c>
      <c r="K25" s="83">
        <f>SUMPRODUCT(K21:K24,D21:D24)/D25</f>
        <v>0.07246057999064458</v>
      </c>
      <c r="L25" s="84"/>
      <c r="N25" s="138">
        <f>B25-'Table 3.15-Route UAA NoPARS'!B25-'Table 3.16-Route UAA PARS'!B25</f>
        <v>0</v>
      </c>
      <c r="O25" s="138">
        <f>C25-'Table 3.15-Route UAA NoPARS'!C25-'Table 3.16-Route UAA PARS'!C25</f>
        <v>0</v>
      </c>
      <c r="P25" s="138">
        <f>D25-'Table 3.15-Route UAA NoPARS'!D25-'Table 3.16-Route UAA PARS'!D25</f>
        <v>0</v>
      </c>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6" ht="12.75" customHeight="1">
      <c r="A28" s="337" t="s">
        <v>135</v>
      </c>
      <c r="B28" s="135">
        <v>32.17670698623184</v>
      </c>
      <c r="C28" s="46">
        <v>1163.6477798001174</v>
      </c>
      <c r="D28" s="135">
        <v>23808.454374343226</v>
      </c>
      <c r="E28" s="135"/>
      <c r="F28" s="83">
        <f>C28/D28</f>
        <v>0.04887540205273059</v>
      </c>
      <c r="G28" s="159"/>
      <c r="H28" s="54">
        <v>1.3882853153395636</v>
      </c>
      <c r="I28" s="72"/>
      <c r="J28" s="46">
        <f>C28*H28</f>
        <v>1615.475124923989</v>
      </c>
      <c r="K28" s="83">
        <f>F28*(H28)</f>
        <v>0.06785300295112304</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c r="A29" s="338" t="s">
        <v>136</v>
      </c>
      <c r="B29" s="135">
        <v>16.937127586417372</v>
      </c>
      <c r="C29" s="46">
        <v>376.11319636352044</v>
      </c>
      <c r="D29" s="135">
        <v>11994.365693209696</v>
      </c>
      <c r="E29" s="135"/>
      <c r="F29" s="83">
        <f>C29/D29</f>
        <v>0.03135748950663121</v>
      </c>
      <c r="G29" s="159"/>
      <c r="H29" s="54">
        <v>1.280106436830296</v>
      </c>
      <c r="I29" s="72"/>
      <c r="J29" s="46">
        <f>C29*H29</f>
        <v>481.4649236417596</v>
      </c>
      <c r="K29" s="83">
        <f>F29*(H29)</f>
        <v>0.04014092416027707</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c r="A30" s="337" t="s">
        <v>137</v>
      </c>
      <c r="B30" s="135">
        <v>13.564808527703184</v>
      </c>
      <c r="C30" s="46">
        <v>1227.3374604666828</v>
      </c>
      <c r="D30" s="135">
        <v>7089.660450182213</v>
      </c>
      <c r="E30" s="135"/>
      <c r="F30" s="83">
        <f>C30/D30</f>
        <v>0.17311653627010287</v>
      </c>
      <c r="G30" s="159"/>
      <c r="H30" s="54">
        <v>1.5205589342948984</v>
      </c>
      <c r="I30" s="72"/>
      <c r="J30" s="46">
        <f>C30*H30</f>
        <v>1866.2389409074262</v>
      </c>
      <c r="K30" s="83">
        <f>F30*(H30)</f>
        <v>0.26323389589969176</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c r="A31" s="337" t="s">
        <v>107</v>
      </c>
      <c r="B31" s="135">
        <v>0.12011427073386222</v>
      </c>
      <c r="C31" s="46">
        <v>4.594671141247064</v>
      </c>
      <c r="D31" s="135">
        <v>91.74599338516579</v>
      </c>
      <c r="E31" s="135"/>
      <c r="F31" s="83">
        <f>C31/D31</f>
        <v>0.050080346527589796</v>
      </c>
      <c r="G31" s="159"/>
      <c r="H31" s="54">
        <v>1.280106436830296</v>
      </c>
      <c r="I31" s="72"/>
      <c r="J31" s="46">
        <f>C31*H31</f>
        <v>5.881668103028768</v>
      </c>
      <c r="K31" s="83">
        <f>F31*(H31)</f>
        <v>0.06410817394865946</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c r="A32" s="337" t="s">
        <v>277</v>
      </c>
      <c r="B32" s="135">
        <f>SUM(B28:B31)</f>
        <v>62.79875737108626</v>
      </c>
      <c r="C32" s="46">
        <f>SUM(C28:C31)</f>
        <v>2771.693107771568</v>
      </c>
      <c r="D32" s="135">
        <f>SUM(D28:D31)</f>
        <v>42984.2265111203</v>
      </c>
      <c r="E32" s="135"/>
      <c r="F32" s="83">
        <f>C32/D32</f>
        <v>0.06448163274624734</v>
      </c>
      <c r="G32" s="159"/>
      <c r="H32" s="54"/>
      <c r="I32" s="72"/>
      <c r="J32" s="46">
        <f>SUM(J28:J31)</f>
        <v>3969.0606575762035</v>
      </c>
      <c r="K32" s="83">
        <f>SUMPRODUCT(K28:K31,D28:D31)/D32</f>
        <v>0.09233760799556047</v>
      </c>
      <c r="L32" s="84"/>
      <c r="N32" s="138">
        <f>B32-'Table 3.15-Route UAA NoPARS'!B32-'Table 3.16-Route UAA PARS'!B32</f>
        <v>0</v>
      </c>
      <c r="O32" s="138">
        <f>C32-'Table 3.15-Route UAA NoPARS'!C32-'Table 3.16-Route UAA PARS'!C32</f>
        <v>0</v>
      </c>
      <c r="P32" s="138">
        <f>D32-'Table 3.15-Route UAA NoPARS'!D32-'Table 3.16-Route UAA PARS'!D32</f>
        <v>0</v>
      </c>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6" ht="12.75">
      <c r="A35" s="337" t="s">
        <v>135</v>
      </c>
      <c r="B35" s="135">
        <f aca="true" t="shared" si="0" ref="B35:D38">SUM(B7,B14,B21,B28)</f>
        <v>1273.5312471425325</v>
      </c>
      <c r="C35" s="46">
        <f t="shared" si="0"/>
        <v>48732.53162081607</v>
      </c>
      <c r="D35" s="135">
        <f t="shared" si="0"/>
        <v>841934.2193572044</v>
      </c>
      <c r="E35" s="135"/>
      <c r="F35" s="83">
        <f>C35/D35</f>
        <v>0.05788163790043138</v>
      </c>
      <c r="G35" s="159"/>
      <c r="H35" s="54">
        <v>1.3882853153395636</v>
      </c>
      <c r="I35" s="72"/>
      <c r="J35" s="46">
        <f>SUM(J7,J14,J21,J28)</f>
        <v>67654.6580284999</v>
      </c>
      <c r="K35" s="83">
        <f>F35*(H35)</f>
        <v>0.08035622792497081</v>
      </c>
      <c r="L35" s="84"/>
      <c r="N35" s="138">
        <f>B35-'Table 3.15-Route UAA NoPARS'!B35-'Table 3.16-Route UAA PARS'!B35</f>
        <v>0</v>
      </c>
      <c r="O35" s="138">
        <f>C35-'Table 3.15-Route UAA NoPARS'!C35-'Table 3.16-Route UAA PARS'!C35</f>
        <v>0</v>
      </c>
      <c r="P35" s="138">
        <f>D35-'Table 3.15-Route UAA NoPARS'!D35-'Table 3.16-Route UAA PARS'!D35</f>
        <v>0</v>
      </c>
    </row>
    <row r="36" spans="1:16" ht="12.75">
      <c r="A36" s="338" t="s">
        <v>136</v>
      </c>
      <c r="B36" s="135">
        <f t="shared" si="0"/>
        <v>501.0952455926501</v>
      </c>
      <c r="C36" s="46">
        <f t="shared" si="0"/>
        <v>11580.886482210746</v>
      </c>
      <c r="D36" s="135">
        <f t="shared" si="0"/>
        <v>344759.5120717091</v>
      </c>
      <c r="E36" s="135"/>
      <c r="F36" s="83">
        <f>C36/D36</f>
        <v>0.03359120220532726</v>
      </c>
      <c r="G36" s="159"/>
      <c r="H36" s="54">
        <v>1.280106436830296</v>
      </c>
      <c r="I36" s="72"/>
      <c r="J36" s="46">
        <f>SUM(J8,J15,J22,J29)</f>
        <v>14824.76733007894</v>
      </c>
      <c r="K36" s="83">
        <f>F36*(H36)</f>
        <v>0.04300031416390746</v>
      </c>
      <c r="L36" s="84"/>
      <c r="N36" s="138">
        <f>B36-'Table 3.15-Route UAA NoPARS'!B36-'Table 3.16-Route UAA PARS'!B36</f>
        <v>0</v>
      </c>
      <c r="O36" s="138">
        <f>C36-'Table 3.15-Route UAA NoPARS'!C36-'Table 3.16-Route UAA PARS'!C36</f>
        <v>0</v>
      </c>
      <c r="P36" s="138">
        <f>D36-'Table 3.15-Route UAA NoPARS'!D36-'Table 3.16-Route UAA PARS'!D36</f>
        <v>0</v>
      </c>
    </row>
    <row r="37" spans="1:16" ht="12.75">
      <c r="A37" s="337" t="s">
        <v>137</v>
      </c>
      <c r="B37" s="135">
        <f t="shared" si="0"/>
        <v>326.03423593168594</v>
      </c>
      <c r="C37" s="46">
        <f t="shared" si="0"/>
        <v>9813.411603574139</v>
      </c>
      <c r="D37" s="135">
        <f t="shared" si="0"/>
        <v>209571.89563046908</v>
      </c>
      <c r="E37" s="135"/>
      <c r="F37" s="83">
        <f>C37/D37</f>
        <v>0.046825990546355466</v>
      </c>
      <c r="G37" s="159"/>
      <c r="H37" s="54">
        <v>1.5205589342948984</v>
      </c>
      <c r="I37" s="72"/>
      <c r="J37" s="46">
        <f>SUM(J9,J16,J23,J30)</f>
        <v>14921.870689727884</v>
      </c>
      <c r="K37" s="83">
        <f>F37*(H37)</f>
        <v>0.07120167828246926</v>
      </c>
      <c r="L37" s="84"/>
      <c r="N37" s="138">
        <f>B37-'Table 3.15-Route UAA NoPARS'!B37-'Table 3.16-Route UAA PARS'!B37</f>
        <v>0</v>
      </c>
      <c r="O37" s="138">
        <f>C37-'Table 3.15-Route UAA NoPARS'!C37-'Table 3.16-Route UAA PARS'!C37</f>
        <v>0</v>
      </c>
      <c r="P37" s="138">
        <f>D37-'Table 3.15-Route UAA NoPARS'!D37-'Table 3.16-Route UAA PARS'!D37</f>
        <v>0</v>
      </c>
    </row>
    <row r="38" spans="1:16" ht="12.75">
      <c r="A38" s="337" t="s">
        <v>107</v>
      </c>
      <c r="B38" s="135">
        <f t="shared" si="0"/>
        <v>8.665236102975038</v>
      </c>
      <c r="C38" s="46">
        <f t="shared" si="0"/>
        <v>331.4669440290526</v>
      </c>
      <c r="D38" s="135">
        <f t="shared" si="0"/>
        <v>6058.0443752158535</v>
      </c>
      <c r="E38" s="135"/>
      <c r="F38" s="83">
        <f>C38/D38</f>
        <v>0.05471517266943793</v>
      </c>
      <c r="G38" s="159"/>
      <c r="H38" s="54">
        <v>1.280106436830296</v>
      </c>
      <c r="I38" s="72"/>
      <c r="J38" s="46">
        <f>SUM(J10,J17,J24,J31)</f>
        <v>424.3129686480576</v>
      </c>
      <c r="K38" s="83">
        <f>F38*(H38)</f>
        <v>0.07004124472642857</v>
      </c>
      <c r="L38" s="84"/>
      <c r="N38" s="138">
        <f>B38-'Table 3.15-Route UAA NoPARS'!B38-'Table 3.16-Route UAA PARS'!B38</f>
        <v>0</v>
      </c>
      <c r="O38" s="138">
        <f>C38-'Table 3.15-Route UAA NoPARS'!C38-'Table 3.16-Route UAA PARS'!C38</f>
        <v>0</v>
      </c>
      <c r="P38" s="138">
        <f>D38-'Table 3.15-Route UAA NoPARS'!D38-'Table 3.16-Route UAA PARS'!D38</f>
        <v>0</v>
      </c>
    </row>
    <row r="39" spans="1:16" ht="12.75">
      <c r="A39" s="338" t="s">
        <v>102</v>
      </c>
      <c r="B39" s="135">
        <f>SUM(B35:B38)</f>
        <v>2109.3259647698437</v>
      </c>
      <c r="C39" s="46">
        <f>SUM(C35:C38)</f>
        <v>70458.29665063</v>
      </c>
      <c r="D39" s="135">
        <f>SUM(D35:D38)</f>
        <v>1402323.6714345985</v>
      </c>
      <c r="E39" s="135"/>
      <c r="F39" s="83"/>
      <c r="G39" s="159"/>
      <c r="H39" s="54"/>
      <c r="I39" s="72"/>
      <c r="J39" s="46">
        <f>SUM(J35:J38)</f>
        <v>97825.6090169548</v>
      </c>
      <c r="K39" s="83">
        <f>SUMPRODUCT(K35:K38,D35:D38)/D39</f>
        <v>0.06975965036436822</v>
      </c>
      <c r="L39" s="84"/>
      <c r="N39" s="138">
        <f>B39-'Table 3.15-Route UAA NoPARS'!B39-'Table 3.16-Route UAA PARS'!B39</f>
        <v>0</v>
      </c>
      <c r="O39" s="138">
        <f>C39-'Table 3.15-Route UAA NoPARS'!C39-'Table 3.16-Route UAA PARS'!C39</f>
        <v>0</v>
      </c>
      <c r="P39" s="138">
        <f>D39-'Table 3.15-Route UAA NoPARS'!D39-'Table 3.16-Route UAA PARS'!D39</f>
        <v>0</v>
      </c>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
      <c r="A42" s="158" t="s">
        <v>63</v>
      </c>
      <c r="L42" s="84"/>
    </row>
    <row r="43" spans="1:12" ht="1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7" ht="12.75">
      <c r="A48" s="337" t="s">
        <v>135</v>
      </c>
      <c r="B48" s="135">
        <v>79.38327385972052</v>
      </c>
      <c r="C48" s="46">
        <v>3956.114089311097</v>
      </c>
      <c r="D48" s="135">
        <v>65039.08941868673</v>
      </c>
      <c r="E48" s="135"/>
      <c r="F48" s="83">
        <f>C48/D48</f>
        <v>0.06082671397571019</v>
      </c>
      <c r="G48" s="159"/>
      <c r="H48" s="54">
        <v>1.3882853153395636</v>
      </c>
      <c r="I48" s="72"/>
      <c r="J48" s="46">
        <f>C48*H48</f>
        <v>5492.2150959985465</v>
      </c>
      <c r="K48" s="83">
        <f>F48*(H48)</f>
        <v>0.08444483379283826</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ht="12.75">
      <c r="A49" s="338" t="s">
        <v>136</v>
      </c>
      <c r="B49" s="135">
        <v>20.7095255892361</v>
      </c>
      <c r="C49" s="46">
        <v>794.9105584043187</v>
      </c>
      <c r="D49" s="135">
        <v>29982.067238133164</v>
      </c>
      <c r="E49" s="135"/>
      <c r="F49" s="83">
        <f>C49/D49</f>
        <v>0.026512866911101423</v>
      </c>
      <c r="G49" s="159"/>
      <c r="H49" s="54">
        <v>1.280106436830296</v>
      </c>
      <c r="I49" s="72"/>
      <c r="J49" s="46">
        <f>C49*H49</f>
        <v>1017.5701225177334</v>
      </c>
      <c r="K49" s="83">
        <f>F49*(H49)</f>
        <v>0.033939291591725894</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ht="12.75">
      <c r="A50" s="337" t="s">
        <v>137</v>
      </c>
      <c r="B50" s="53">
        <v>8.786023905323415</v>
      </c>
      <c r="C50" s="46">
        <v>514.5925930186183</v>
      </c>
      <c r="D50" s="53">
        <v>10860.358395486532</v>
      </c>
      <c r="E50" s="135"/>
      <c r="F50" s="83">
        <f>C50/D50</f>
        <v>0.047382652973264536</v>
      </c>
      <c r="G50" s="159"/>
      <c r="H50" s="54">
        <v>1.5205589342948984</v>
      </c>
      <c r="I50" s="72"/>
      <c r="J50" s="46">
        <f>C50*H50</f>
        <v>782.4683648364387</v>
      </c>
      <c r="K50" s="83">
        <f>F50*(H50)</f>
        <v>0.07204811630909212</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ht="12.75">
      <c r="A51" s="337" t="s">
        <v>107</v>
      </c>
      <c r="B51" s="53">
        <v>0.48498805845576054</v>
      </c>
      <c r="C51" s="46">
        <v>18.552005706078976</v>
      </c>
      <c r="D51" s="53">
        <v>680.9550341013158</v>
      </c>
      <c r="E51" s="135"/>
      <c r="F51" s="83">
        <f>C51/D51</f>
        <v>0.027244098034406656</v>
      </c>
      <c r="G51" s="159"/>
      <c r="H51" s="54">
        <v>1.280106436830296</v>
      </c>
      <c r="I51" s="72"/>
      <c r="J51" s="46">
        <f>C51*H51</f>
        <v>23.748541920464074</v>
      </c>
      <c r="K51" s="83">
        <f>F51*(H51)</f>
        <v>0.03487534525947957</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ht="12.75">
      <c r="A52" s="337" t="s">
        <v>277</v>
      </c>
      <c r="B52" s="53">
        <f>SUM(B48:B51)</f>
        <v>109.36381141273579</v>
      </c>
      <c r="C52" s="46">
        <f>SUM(C48:C51)</f>
        <v>5284.169246440114</v>
      </c>
      <c r="D52" s="53">
        <f>SUM(D48:D51)</f>
        <v>106562.47008640773</v>
      </c>
      <c r="E52" s="135"/>
      <c r="F52" s="41"/>
      <c r="G52" s="159"/>
      <c r="H52" s="54"/>
      <c r="I52" s="72"/>
      <c r="J52" s="46">
        <f>SUM(J48:J51)</f>
        <v>7316.002125273183</v>
      </c>
      <c r="K52" s="83">
        <f>SUMPRODUCT(K48:K51,D48:D51)/D52</f>
        <v>0.06865458467076538</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7" ht="12.75">
      <c r="A56" s="337" t="s">
        <v>135</v>
      </c>
      <c r="B56" s="135">
        <v>37.048343743211746</v>
      </c>
      <c r="C56" s="46">
        <v>1789.2114843992517</v>
      </c>
      <c r="D56" s="135">
        <v>31673.306134863928</v>
      </c>
      <c r="E56" s="135"/>
      <c r="F56" s="83">
        <f>C56/D56</f>
        <v>0.05648957127433575</v>
      </c>
      <c r="G56" s="159"/>
      <c r="H56" s="54">
        <v>1.3882853153395636</v>
      </c>
      <c r="I56" s="72"/>
      <c r="J56" s="46">
        <f>C56*H56</f>
        <v>2483.9360298283837</v>
      </c>
      <c r="K56" s="83">
        <f>F56*(H56)</f>
        <v>0.07842364226998796</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ht="12.75">
      <c r="A57" s="338" t="s">
        <v>136</v>
      </c>
      <c r="B57" s="135">
        <v>13.233858005009566</v>
      </c>
      <c r="C57" s="46">
        <v>518.4697174115971</v>
      </c>
      <c r="D57" s="135">
        <v>14810.347574849446</v>
      </c>
      <c r="E57" s="135"/>
      <c r="F57" s="83">
        <f>C57/D57</f>
        <v>0.035007261969465804</v>
      </c>
      <c r="G57" s="159"/>
      <c r="H57" s="54">
        <v>1.280106436830296</v>
      </c>
      <c r="I57" s="72"/>
      <c r="J57" s="46">
        <f>C57*H57</f>
        <v>663.69642256017</v>
      </c>
      <c r="K57" s="83">
        <f>F57*(H57)</f>
        <v>0.044813021382917595</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ht="12.75">
      <c r="A58" s="337" t="s">
        <v>137</v>
      </c>
      <c r="B58" s="53">
        <v>4.0874242822088656</v>
      </c>
      <c r="C58" s="46">
        <v>138.94103099039907</v>
      </c>
      <c r="D58" s="53">
        <v>4691.1243844562905</v>
      </c>
      <c r="E58" s="135"/>
      <c r="F58" s="83">
        <f>C58/D58</f>
        <v>0.029617852694499076</v>
      </c>
      <c r="G58" s="159"/>
      <c r="H58" s="54">
        <v>1.5205589342948984</v>
      </c>
      <c r="I58" s="72"/>
      <c r="J58" s="46">
        <f>C58*H58</f>
        <v>211.26802601259567</v>
      </c>
      <c r="K58" s="83">
        <f>F58*(H58)</f>
        <v>0.0450356905292508</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ht="12.75">
      <c r="A59" s="337" t="s">
        <v>107</v>
      </c>
      <c r="B59" s="53">
        <v>0.049092234140367716</v>
      </c>
      <c r="C59" s="46">
        <v>1.877900686454416</v>
      </c>
      <c r="D59" s="53">
        <v>106.45544270204952</v>
      </c>
      <c r="E59" s="135"/>
      <c r="F59" s="83">
        <f>C59/D59</f>
        <v>0.0176402505948929</v>
      </c>
      <c r="G59" s="159"/>
      <c r="H59" s="54">
        <v>1.280106436830296</v>
      </c>
      <c r="I59" s="72"/>
      <c r="J59" s="46">
        <f>C59*H59</f>
        <v>2.4039127564583294</v>
      </c>
      <c r="K59" s="83">
        <f>F59*(H59)</f>
        <v>0.022581398333821855</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ht="12.75">
      <c r="A60" s="337" t="s">
        <v>277</v>
      </c>
      <c r="B60" s="53">
        <f>SUM(B56:B59)</f>
        <v>54.41871826457054</v>
      </c>
      <c r="C60" s="46">
        <f>SUM(C56:C59)</f>
        <v>2448.5001334877024</v>
      </c>
      <c r="D60" s="53">
        <f>SUM(D56:D59)</f>
        <v>51281.23353687171</v>
      </c>
      <c r="E60" s="135"/>
      <c r="F60" s="41"/>
      <c r="G60" s="159"/>
      <c r="H60" s="54"/>
      <c r="I60" s="72"/>
      <c r="J60" s="46">
        <f>SUM(J56:J59)</f>
        <v>3361.304391157608</v>
      </c>
      <c r="K60" s="83">
        <f>SUMPRODUCT(K56:K59,D56:D59)/D60</f>
        <v>0.06554648083378878</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7" ht="12.75">
      <c r="A63" s="337" t="s">
        <v>135</v>
      </c>
      <c r="B63" s="135">
        <v>40.65512297582408</v>
      </c>
      <c r="C63" s="46">
        <v>1764.58610570258</v>
      </c>
      <c r="D63" s="135">
        <v>34204.86213577472</v>
      </c>
      <c r="E63" s="11"/>
      <c r="F63" s="83">
        <f>C63/D63</f>
        <v>0.05158875070737405</v>
      </c>
      <c r="G63" s="11"/>
      <c r="H63" s="54">
        <v>1.3882853153395636</v>
      </c>
      <c r="I63" s="11"/>
      <c r="J63" s="46">
        <f>C63*H63</f>
        <v>2449.7489781991185</v>
      </c>
      <c r="K63" s="83">
        <f>F63*(H63)</f>
        <v>0.07161990504376092</v>
      </c>
      <c r="N63" s="138">
        <f>B63-'Table 3.15-Route UAA NoPARS'!B63-'Table 3.16-Route UAA PARS'!B63</f>
        <v>-1.0658141036401503E-14</v>
      </c>
      <c r="O63" s="138">
        <f>C63-'Table 3.15-Route UAA NoPARS'!C63-'Table 3.16-Route UAA PARS'!C63</f>
        <v>0</v>
      </c>
      <c r="P63" s="138">
        <f>D63-'Table 3.15-Route UAA NoPARS'!D63-'Table 3.16-Route UAA PARS'!D63</f>
        <v>7.275957614183426E-12</v>
      </c>
      <c r="Q63" s="138">
        <f>J63-'Table 3.15-Route UAA NoPARS'!J63-'Table 3.16-Route UAA PARS'!J63</f>
        <v>0</v>
      </c>
    </row>
    <row r="64" spans="1:17" ht="12.75">
      <c r="A64" s="338" t="s">
        <v>136</v>
      </c>
      <c r="B64" s="135">
        <v>16.320823564892958</v>
      </c>
      <c r="C64" s="46">
        <v>693.9895532336488</v>
      </c>
      <c r="D64" s="135">
        <v>16459.091777273832</v>
      </c>
      <c r="E64" s="11"/>
      <c r="F64" s="83">
        <f>C64/D64</f>
        <v>0.042164510814131716</v>
      </c>
      <c r="G64" s="11"/>
      <c r="H64" s="54">
        <v>1.280106436830296</v>
      </c>
      <c r="I64" s="11"/>
      <c r="J64" s="46">
        <f>C64*H64</f>
        <v>888.3804941873752</v>
      </c>
      <c r="K64" s="83">
        <f>F64*(H64)</f>
        <v>0.05397506169897063</v>
      </c>
      <c r="N64" s="138">
        <f>B64-'Table 3.15-Route UAA NoPARS'!B64-'Table 3.16-Route UAA PARS'!B64</f>
        <v>0</v>
      </c>
      <c r="O64" s="138">
        <f>C64-'Table 3.15-Route UAA NoPARS'!C64-'Table 3.16-Route UAA PARS'!C64</f>
        <v>-1.9895196601282805E-13</v>
      </c>
      <c r="P64" s="138">
        <f>D64-'Table 3.15-Route UAA NoPARS'!D64-'Table 3.16-Route UAA PARS'!D64</f>
        <v>0</v>
      </c>
      <c r="Q64" s="138">
        <f>J64-'Table 3.15-Route UAA NoPARS'!J64-'Table 3.16-Route UAA PARS'!J64</f>
        <v>-1.9895196601282805E-13</v>
      </c>
    </row>
    <row r="65" spans="1:17" ht="12.75">
      <c r="A65" s="337" t="s">
        <v>137</v>
      </c>
      <c r="B65" s="53">
        <v>10.281360918115734</v>
      </c>
      <c r="C65" s="46">
        <v>1002.9387316528846</v>
      </c>
      <c r="D65" s="53">
        <v>7127.849800747352</v>
      </c>
      <c r="E65" s="11"/>
      <c r="F65" s="83">
        <f>C65/D65</f>
        <v>0.14070705187246327</v>
      </c>
      <c r="G65" s="11"/>
      <c r="H65" s="54">
        <v>1.5205589342948984</v>
      </c>
      <c r="I65" s="11"/>
      <c r="J65" s="46">
        <f>C65*H65</f>
        <v>1525.0274489651872</v>
      </c>
      <c r="K65" s="83">
        <f>F65*(H65)</f>
        <v>0.21395336484296973</v>
      </c>
      <c r="N65" s="138">
        <f>B65-'Table 3.15-Route UAA NoPARS'!B65-'Table 3.16-Route UAA PARS'!B65</f>
        <v>0</v>
      </c>
      <c r="O65" s="138">
        <f>C65-'Table 3.15-Route UAA NoPARS'!C65-'Table 3.16-Route UAA PARS'!C65</f>
        <v>0</v>
      </c>
      <c r="P65" s="138">
        <f>D65-'Table 3.15-Route UAA NoPARS'!D65-'Table 3.16-Route UAA PARS'!D65</f>
        <v>0</v>
      </c>
      <c r="Q65" s="138">
        <f>J65-'Table 3.15-Route UAA NoPARS'!J65-'Table 3.16-Route UAA PARS'!J65</f>
        <v>-2.2737367544323206E-13</v>
      </c>
    </row>
    <row r="66" spans="1:17" ht="12.75">
      <c r="A66" s="337" t="s">
        <v>107</v>
      </c>
      <c r="B66" s="53">
        <v>0.36876507654170826</v>
      </c>
      <c r="C66" s="46">
        <v>14.106186090411695</v>
      </c>
      <c r="D66" s="53">
        <v>428.24491227115857</v>
      </c>
      <c r="E66" s="11"/>
      <c r="F66" s="83">
        <f>C66/D66</f>
        <v>0.03293952989564032</v>
      </c>
      <c r="G66" s="11"/>
      <c r="H66" s="54">
        <v>1.280106436830296</v>
      </c>
      <c r="I66" s="11"/>
      <c r="J66" s="46">
        <f>C66*H66</f>
        <v>18.057419613462</v>
      </c>
      <c r="K66" s="83">
        <f>F66*(H66)</f>
        <v>0.04216610424557314</v>
      </c>
      <c r="N66" s="138">
        <f>B66-'Table 3.15-Route UAA NoPARS'!B66-'Table 3.16-Route UAA PARS'!B66</f>
        <v>0</v>
      </c>
      <c r="O66" s="138">
        <f>C66-'Table 3.15-Route UAA NoPARS'!C66-'Table 3.16-Route UAA PARS'!C66</f>
        <v>0</v>
      </c>
      <c r="P66" s="138">
        <f>D66-'Table 3.15-Route UAA NoPARS'!D66-'Table 3.16-Route UAA PARS'!D66</f>
        <v>0</v>
      </c>
      <c r="Q66" s="138">
        <f>J66-'Table 3.15-Route UAA NoPARS'!J66-'Table 3.16-Route UAA PARS'!J66</f>
        <v>0</v>
      </c>
    </row>
    <row r="67" spans="1:17" ht="12.75">
      <c r="A67" s="337" t="s">
        <v>277</v>
      </c>
      <c r="B67" s="53">
        <f>SUM(B63:B66)</f>
        <v>67.62607253537448</v>
      </c>
      <c r="C67" s="46">
        <f>SUM(C63:C66)</f>
        <v>3475.620576679525</v>
      </c>
      <c r="D67" s="53">
        <f>SUM(D63:D66)</f>
        <v>58220.04862606706</v>
      </c>
      <c r="E67" s="11"/>
      <c r="F67" s="11"/>
      <c r="G67" s="11"/>
      <c r="I67" s="11"/>
      <c r="J67" s="46">
        <f>SUM(J63:J66)</f>
        <v>4881.2143409651435</v>
      </c>
      <c r="K67" s="83">
        <f>SUMPRODUCT(K63:K66,D63:D66)/D67</f>
        <v>0.08384078090205616</v>
      </c>
      <c r="N67" s="138">
        <f>B67-'Table 3.15-Route UAA NoPARS'!B67-'Table 3.16-Route UAA PARS'!B67</f>
        <v>-1.4210854715202004E-14</v>
      </c>
      <c r="O67" s="138">
        <f>C67-'Table 3.15-Route UAA NoPARS'!C67-'Table 3.16-Route UAA PARS'!C67</f>
        <v>0</v>
      </c>
      <c r="P67" s="138">
        <f>D67-'Table 3.15-Route UAA NoPARS'!D67-'Table 3.16-Route UAA PARS'!D67</f>
        <v>1.4551915228366852E-11</v>
      </c>
      <c r="Q67" s="138">
        <f>J67-'Table 3.15-Route UAA NoPARS'!J67-'Table 3.16-Route UAA PARS'!J67</f>
        <v>0</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7" ht="12.75" customHeight="1">
      <c r="A70" s="337" t="s">
        <v>135</v>
      </c>
      <c r="B70" s="135">
        <f aca="true" t="shared" si="1" ref="B70:D73">SUM(B48,B56,B63)</f>
        <v>157.08674057875635</v>
      </c>
      <c r="C70" s="46">
        <f t="shared" si="1"/>
        <v>7509.911679412928</v>
      </c>
      <c r="D70" s="135">
        <f t="shared" si="1"/>
        <v>130917.25768932537</v>
      </c>
      <c r="E70" s="135"/>
      <c r="F70" s="83">
        <f>C70/D70</f>
        <v>0.05736380223632858</v>
      </c>
      <c r="G70" s="159"/>
      <c r="H70" s="54">
        <v>1.3882853153395636</v>
      </c>
      <c r="I70" s="72"/>
      <c r="J70" s="46">
        <f>C70*H70</f>
        <v>10425.900104026048</v>
      </c>
      <c r="K70" s="83">
        <f>F70*(H70)</f>
        <v>0.07963732427673778</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c r="A71" s="338" t="s">
        <v>136</v>
      </c>
      <c r="B71" s="135">
        <f t="shared" si="1"/>
        <v>50.26420715913862</v>
      </c>
      <c r="C71" s="46">
        <f t="shared" si="1"/>
        <v>2007.3698290495647</v>
      </c>
      <c r="D71" s="135">
        <f t="shared" si="1"/>
        <v>61251.50659025644</v>
      </c>
      <c r="E71" s="135"/>
      <c r="F71" s="83">
        <f>C71/D71</f>
        <v>0.03277257884410775</v>
      </c>
      <c r="G71" s="159"/>
      <c r="H71" s="54">
        <v>1.280106436830296</v>
      </c>
      <c r="I71" s="72"/>
      <c r="J71" s="46">
        <f>C71*H71</f>
        <v>2569.6470392652786</v>
      </c>
      <c r="K71" s="83">
        <f>F71*(H71)</f>
        <v>0.04195238912987071</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c r="A72" s="337" t="s">
        <v>137</v>
      </c>
      <c r="B72" s="135">
        <f t="shared" si="1"/>
        <v>23.154809105648013</v>
      </c>
      <c r="C72" s="46">
        <f t="shared" si="1"/>
        <v>1656.472355661902</v>
      </c>
      <c r="D72" s="135">
        <f t="shared" si="1"/>
        <v>22679.332580690174</v>
      </c>
      <c r="E72" s="135"/>
      <c r="F72" s="83">
        <f>C72/D72</f>
        <v>0.07303884934745697</v>
      </c>
      <c r="G72" s="159"/>
      <c r="H72" s="54">
        <v>1.5205589342948984</v>
      </c>
      <c r="I72" s="72"/>
      <c r="J72" s="46">
        <f>C72*H72</f>
        <v>2518.7638398142217</v>
      </c>
      <c r="K72" s="83">
        <f>F72*(H72)</f>
        <v>0.11105987492589481</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c r="A73" s="337" t="s">
        <v>107</v>
      </c>
      <c r="B73" s="135">
        <f t="shared" si="1"/>
        <v>0.9028453691378364</v>
      </c>
      <c r="C73" s="46">
        <f t="shared" si="1"/>
        <v>34.53609248294509</v>
      </c>
      <c r="D73" s="135">
        <f t="shared" si="1"/>
        <v>1215.655389074524</v>
      </c>
      <c r="E73" s="135"/>
      <c r="F73" s="83">
        <f>C73/D73</f>
        <v>0.028409442999497863</v>
      </c>
      <c r="G73" s="159"/>
      <c r="H73" s="54">
        <v>1.280106436830296</v>
      </c>
      <c r="I73" s="72"/>
      <c r="J73" s="46">
        <f>C73*H73</f>
        <v>44.2098742903844</v>
      </c>
      <c r="K73" s="83">
        <f>F73*(H73)</f>
        <v>0.0363671108504206</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c r="A74" s="337" t="s">
        <v>102</v>
      </c>
      <c r="B74" s="135">
        <f>SUM(B70:B73)</f>
        <v>231.40860221268082</v>
      </c>
      <c r="C74" s="46">
        <f>SUM(C70:C73)</f>
        <v>11208.289956607341</v>
      </c>
      <c r="D74" s="135">
        <f>SUM(D70:D73)</f>
        <v>216063.75224934652</v>
      </c>
      <c r="E74" s="135"/>
      <c r="F74" s="41"/>
      <c r="G74" s="159"/>
      <c r="H74" s="54"/>
      <c r="I74" s="72"/>
      <c r="J74" s="46">
        <f>SUM(J70:J73)</f>
        <v>15558.520857395932</v>
      </c>
      <c r="K74" s="83">
        <f>SUMPRODUCT(K70:K73,D70:D73)/D74</f>
        <v>0.07200893576744309</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7" ht="12.75">
      <c r="A78" s="337" t="s">
        <v>135</v>
      </c>
      <c r="B78" s="135">
        <v>707.2263136778488</v>
      </c>
      <c r="C78" s="46">
        <v>36732.250657784985</v>
      </c>
      <c r="D78" s="135">
        <v>1361233.024205668</v>
      </c>
      <c r="E78" s="135"/>
      <c r="F78" s="83">
        <f>C78/D78</f>
        <v>0.02698454269372408</v>
      </c>
      <c r="G78" s="159"/>
      <c r="H78" s="54">
        <v>1.3882853153395636</v>
      </c>
      <c r="I78" s="72"/>
      <c r="J78" s="46">
        <f>C78*H78</f>
        <v>50994.84418757492</v>
      </c>
      <c r="K78" s="83">
        <f>F78*(H78)</f>
        <v>0.03746224436285065</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ht="12.75">
      <c r="A79" s="338" t="s">
        <v>136</v>
      </c>
      <c r="B79" s="135">
        <v>219.54593332729291</v>
      </c>
      <c r="C79" s="46">
        <v>8113.4865131163115</v>
      </c>
      <c r="D79" s="135">
        <v>490098.29976961436</v>
      </c>
      <c r="E79" s="135"/>
      <c r="F79" s="83">
        <f>C79/D79</f>
        <v>0.016554814650306487</v>
      </c>
      <c r="G79" s="159"/>
      <c r="H79" s="54">
        <v>1.280106436830296</v>
      </c>
      <c r="I79" s="72"/>
      <c r="J79" s="46">
        <f>C79*H79</f>
        <v>10386.126310575983</v>
      </c>
      <c r="K79" s="83">
        <f>F79*(H79)</f>
        <v>0.02119192479438982</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ht="12.75">
      <c r="A80" s="337" t="s">
        <v>137</v>
      </c>
      <c r="B80" s="135">
        <v>82.8734034944449</v>
      </c>
      <c r="C80" s="46">
        <v>3537.492664862127</v>
      </c>
      <c r="D80" s="135">
        <v>196819.38678572662</v>
      </c>
      <c r="E80" s="135"/>
      <c r="F80" s="83">
        <f>C80/D80</f>
        <v>0.01797329380318274</v>
      </c>
      <c r="G80" s="159"/>
      <c r="H80" s="54">
        <v>1.5205589342948984</v>
      </c>
      <c r="I80" s="72"/>
      <c r="J80" s="46">
        <f>C80*H80</f>
        <v>5378.966076558776</v>
      </c>
      <c r="K80" s="83">
        <f>F80*(H80)</f>
        <v>0.027329452471136648</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7" ht="12.75">
      <c r="A81" s="337" t="s">
        <v>107</v>
      </c>
      <c r="B81" s="135">
        <v>6.055613429227045</v>
      </c>
      <c r="C81" s="46">
        <v>231.64235270150758</v>
      </c>
      <c r="D81" s="135">
        <v>9138.297009793787</v>
      </c>
      <c r="E81" s="135"/>
      <c r="F81" s="83">
        <f>C81/D81</f>
        <v>0.025348525272624597</v>
      </c>
      <c r="G81" s="159"/>
      <c r="H81" s="54">
        <v>1.280106436830296</v>
      </c>
      <c r="I81" s="72"/>
      <c r="J81" s="46">
        <f>C81*H81</f>
        <v>296.52686673571355</v>
      </c>
      <c r="K81" s="83">
        <f>F81*(H81)</f>
        <v>0.03244881036564218</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7" ht="12.75">
      <c r="A82" s="337" t="s">
        <v>102</v>
      </c>
      <c r="B82" s="135">
        <f>SUM(B78:B81)</f>
        <v>1015.7012639288137</v>
      </c>
      <c r="C82" s="46">
        <f>SUM(C78:C81)</f>
        <v>48614.87218846493</v>
      </c>
      <c r="D82" s="135">
        <f>SUM(D78:D81)</f>
        <v>2057289.0077708026</v>
      </c>
      <c r="E82" s="135"/>
      <c r="F82" s="83">
        <f>C82/D82</f>
        <v>0.02363055069309007</v>
      </c>
      <c r="G82" s="159"/>
      <c r="H82" s="54"/>
      <c r="I82" s="72"/>
      <c r="J82" s="46">
        <f>SUM(J78:J81)</f>
        <v>67056.46344144539</v>
      </c>
      <c r="K82" s="83">
        <f>SUMPRODUCT(K78:K81,D78:D81)/D82</f>
        <v>0.032594576254556064</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2:11" ht="4.5" customHeight="1">
      <c r="B83" s="57"/>
      <c r="C83" s="46"/>
      <c r="D83" s="44"/>
      <c r="E83" s="44"/>
      <c r="F83" s="45"/>
      <c r="G83" s="23"/>
      <c r="H83" s="55"/>
      <c r="I83" s="79"/>
      <c r="J83" s="46"/>
      <c r="K83" s="41"/>
    </row>
    <row r="84" ht="12.75" customHeight="1"/>
    <row r="85" ht="15">
      <c r="A85" s="158" t="s">
        <v>64</v>
      </c>
    </row>
    <row r="86" ht="1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6" ht="12.75">
      <c r="A89" s="21" t="s">
        <v>186</v>
      </c>
      <c r="B89" s="57"/>
      <c r="C89" s="46"/>
      <c r="D89" s="44"/>
      <c r="E89" s="44"/>
      <c r="F89" s="45"/>
      <c r="G89" s="23"/>
      <c r="H89" s="55"/>
      <c r="I89" s="79"/>
      <c r="J89" s="46"/>
      <c r="K89" s="41"/>
      <c r="N89" s="352"/>
      <c r="O89" s="352"/>
      <c r="P89" s="352"/>
    </row>
    <row r="90" spans="1:18" ht="12.75">
      <c r="A90" s="81" t="s">
        <v>138</v>
      </c>
      <c r="B90" s="56" t="s">
        <v>106</v>
      </c>
      <c r="C90" s="46">
        <f>SUM('Table 3.17-No Record Mail'!F6,'Table 3.17-No Record Mail'!F12)</f>
        <v>1120.3975740143296</v>
      </c>
      <c r="D90" s="40">
        <v>21674.23173162084</v>
      </c>
      <c r="E90" s="184" t="s">
        <v>239</v>
      </c>
      <c r="F90" s="83">
        <f>C90/D90</f>
        <v>0.05169260843417882</v>
      </c>
      <c r="G90" s="285" t="s">
        <v>240</v>
      </c>
      <c r="H90" s="54">
        <v>1.37715102157782</v>
      </c>
      <c r="I90" s="72"/>
      <c r="J90" s="46">
        <f>C90*H90</f>
        <v>1542.9566636271452</v>
      </c>
      <c r="K90" s="83">
        <f>F90*(H90)</f>
        <v>0.07118852851315159</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7" ht="12.75">
      <c r="A91" s="81" t="s">
        <v>781</v>
      </c>
      <c r="B91" s="56" t="s">
        <v>106</v>
      </c>
      <c r="C91" s="46">
        <f>SUM('Table 3.17-No Record Mail'!F7:F8,'Table 3.17-No Record Mail'!F13:F14)</f>
        <v>3991.8554859113706</v>
      </c>
      <c r="D91" s="40">
        <v>21674.23173162084</v>
      </c>
      <c r="E91" s="184" t="s">
        <v>239</v>
      </c>
      <c r="F91" s="83">
        <f>C91/D91</f>
        <v>0.18417517794125993</v>
      </c>
      <c r="G91" s="285" t="s">
        <v>240</v>
      </c>
      <c r="H91" s="340">
        <v>1.7618940786298556</v>
      </c>
      <c r="I91" s="72"/>
      <c r="J91" s="46">
        <f>C91*H91</f>
        <v>7033.226543373349</v>
      </c>
      <c r="K91" s="83">
        <f>F91*(H91)</f>
        <v>0.3244971554453059</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1" ht="12.75">
      <c r="A92" s="21" t="s">
        <v>187</v>
      </c>
      <c r="B92" s="56"/>
      <c r="C92" s="42"/>
      <c r="D92" s="40"/>
      <c r="E92" s="40"/>
      <c r="F92" s="41"/>
      <c r="G92" s="159"/>
      <c r="H92" s="54"/>
      <c r="I92" s="72"/>
      <c r="J92" s="42"/>
      <c r="K92" s="41"/>
    </row>
    <row r="93" spans="1:17" ht="12.75">
      <c r="A93" s="81" t="s">
        <v>138</v>
      </c>
      <c r="B93" s="56" t="s">
        <v>106</v>
      </c>
      <c r="C93" s="46">
        <f>'Table 3.17-No Record Mail'!F18</f>
        <v>219.40701482534973</v>
      </c>
      <c r="D93" s="40">
        <v>4468.36644904772</v>
      </c>
      <c r="E93" s="184" t="s">
        <v>239</v>
      </c>
      <c r="F93" s="83">
        <f>C93/D93</f>
        <v>0.049102287676542025</v>
      </c>
      <c r="G93" s="285" t="s">
        <v>240</v>
      </c>
      <c r="H93" s="54">
        <v>1.37715102157782</v>
      </c>
      <c r="I93" s="72"/>
      <c r="J93" s="46">
        <f>C93*H93</f>
        <v>302.1565946080703</v>
      </c>
      <c r="K93" s="83">
        <f>F93*(H93)</f>
        <v>0.06762126563555786</v>
      </c>
      <c r="O93" s="138">
        <f>C93-'Table 3.15-Route UAA NoPARS'!C93-'Table 3.16-Route UAA PARS'!C93</f>
        <v>0</v>
      </c>
      <c r="P93" s="138">
        <f>D93-'Table 3.15-Route UAA NoPARS'!D93-'Table 3.16-Route UAA PARS'!D93</f>
        <v>0</v>
      </c>
      <c r="Q93" s="138">
        <f>J93-'Table 3.15-Route UAA NoPARS'!J93-'Table 3.16-Route UAA PARS'!J93</f>
        <v>0</v>
      </c>
    </row>
    <row r="94" spans="1:17" ht="12.75">
      <c r="A94" s="81" t="s">
        <v>781</v>
      </c>
      <c r="B94" s="56" t="s">
        <v>106</v>
      </c>
      <c r="C94" s="46">
        <f>SUM('Table 3.17-No Record Mail'!F19:F20)</f>
        <v>502.89699966276515</v>
      </c>
      <c r="D94" s="40">
        <v>4468.36644904772</v>
      </c>
      <c r="E94" s="184" t="s">
        <v>239</v>
      </c>
      <c r="F94" s="83">
        <f>C94/D94</f>
        <v>0.11254605131366083</v>
      </c>
      <c r="G94" s="285" t="s">
        <v>240</v>
      </c>
      <c r="H94" s="340">
        <v>1.7618940786298556</v>
      </c>
      <c r="I94" s="79"/>
      <c r="J94" s="46">
        <f>C94*H94</f>
        <v>886.0512458665464</v>
      </c>
      <c r="K94" s="83">
        <f>F94*(H94)</f>
        <v>0.19829422138271088</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7" ht="12.75">
      <c r="A99" s="338" t="s">
        <v>280</v>
      </c>
      <c r="B99" s="56" t="s">
        <v>106</v>
      </c>
      <c r="C99" s="46" t="s">
        <v>106</v>
      </c>
      <c r="D99" s="40">
        <f>D11</f>
        <v>941816.9876578884</v>
      </c>
      <c r="E99" s="40"/>
      <c r="F99" s="56" t="s">
        <v>106</v>
      </c>
      <c r="G99" s="159"/>
      <c r="H99" s="56" t="s">
        <v>106</v>
      </c>
      <c r="I99" s="72"/>
      <c r="J99" s="46">
        <f>J11+SUM($J$90:$J$91)*D99/SUM($D$103,$D$109)</f>
        <v>69181.73579393879</v>
      </c>
      <c r="K99" s="83">
        <f>J99/D99</f>
        <v>0.07345560411474421</v>
      </c>
      <c r="P99" s="138">
        <f>D99-'Table 3.15-Route UAA NoPARS'!D99-'Table 3.16-Route UAA PARS'!D99</f>
        <v>0</v>
      </c>
      <c r="Q99" s="138">
        <f>J99-'Table 3.15-Route UAA NoPARS'!J99-'Table 3.16-Route UAA PARS'!J99</f>
        <v>0</v>
      </c>
    </row>
    <row r="100" spans="1:17" ht="12.75">
      <c r="A100" s="338" t="s">
        <v>287</v>
      </c>
      <c r="B100" s="56" t="s">
        <v>106</v>
      </c>
      <c r="C100" s="46" t="s">
        <v>106</v>
      </c>
      <c r="D100" s="40">
        <f>D18</f>
        <v>90527.81140571069</v>
      </c>
      <c r="E100" s="40"/>
      <c r="F100" s="56" t="s">
        <v>106</v>
      </c>
      <c r="G100" s="159"/>
      <c r="H100" s="56" t="s">
        <v>106</v>
      </c>
      <c r="I100" s="72"/>
      <c r="J100" s="46">
        <f>J18+SUM($J$90:$J$91)*D100/SUM($D$103,$D$109)</f>
        <v>6451.208105528142</v>
      </c>
      <c r="K100" s="83">
        <f>J100/D100</f>
        <v>0.0712621680051042</v>
      </c>
      <c r="P100" s="138">
        <f>D100-'Table 3.15-Route UAA NoPARS'!D100-'Table 3.16-Route UAA PARS'!D100</f>
        <v>0</v>
      </c>
      <c r="Q100" s="138">
        <f>J100-'Table 3.15-Route UAA NoPARS'!J100-'Table 3.16-Route UAA PARS'!J100</f>
        <v>0</v>
      </c>
    </row>
    <row r="101" spans="1:17" ht="12.75">
      <c r="A101" s="338" t="s">
        <v>282</v>
      </c>
      <c r="B101" s="56" t="s">
        <v>106</v>
      </c>
      <c r="C101" s="46" t="s">
        <v>106</v>
      </c>
      <c r="D101" s="40">
        <f>D25</f>
        <v>326994.64585987886</v>
      </c>
      <c r="E101" s="40"/>
      <c r="F101" s="56" t="s">
        <v>106</v>
      </c>
      <c r="G101" s="159"/>
      <c r="H101" s="56" t="s">
        <v>106</v>
      </c>
      <c r="I101" s="72"/>
      <c r="J101" s="46">
        <f>J25+SUM($J$90:$J$91)*D101/SUM($D$103,$D$109)</f>
        <v>25427.03668482913</v>
      </c>
      <c r="K101" s="83">
        <f>J101/D101</f>
        <v>0.0777597951732975</v>
      </c>
      <c r="P101" s="138">
        <f>D101-'Table 3.15-Route UAA NoPARS'!D101-'Table 3.16-Route UAA PARS'!D101</f>
        <v>0</v>
      </c>
      <c r="Q101" s="138">
        <f>J101-'Table 3.15-Route UAA NoPARS'!J101-'Table 3.16-Route UAA PARS'!J101</f>
        <v>0</v>
      </c>
    </row>
    <row r="102" spans="1:17" ht="12.75">
      <c r="A102" s="338" t="s">
        <v>276</v>
      </c>
      <c r="B102" s="56" t="s">
        <v>106</v>
      </c>
      <c r="C102" s="46" t="s">
        <v>106</v>
      </c>
      <c r="D102" s="40">
        <f>D32</f>
        <v>42984.2265111203</v>
      </c>
      <c r="E102" s="40"/>
      <c r="F102" s="56" t="s">
        <v>106</v>
      </c>
      <c r="G102" s="159"/>
      <c r="H102" s="56" t="s">
        <v>106</v>
      </c>
      <c r="I102" s="72"/>
      <c r="J102" s="46">
        <f>J32+SUM($J$90:$J$91)*D102/SUM($D$103,$D$109)</f>
        <v>4196.843323318524</v>
      </c>
      <c r="K102" s="83">
        <f>J102/D102</f>
        <v>0.09763682317821337</v>
      </c>
      <c r="P102" s="138">
        <f>D102-'Table 3.15-Route UAA NoPARS'!D102-'Table 3.16-Route UAA PARS'!D102</f>
        <v>0</v>
      </c>
      <c r="Q102" s="138">
        <f>J102-'Table 3.15-Route UAA NoPARS'!J102-'Table 3.16-Route UAA PARS'!J102</f>
        <v>0</v>
      </c>
    </row>
    <row r="103" spans="1:17" ht="12.75">
      <c r="A103" s="338" t="s">
        <v>281</v>
      </c>
      <c r="B103" s="56"/>
      <c r="C103" s="46"/>
      <c r="D103" s="40">
        <f>SUM(D99:D102)</f>
        <v>1402323.6714345983</v>
      </c>
      <c r="E103" s="40"/>
      <c r="F103" s="56"/>
      <c r="G103" s="159"/>
      <c r="H103" s="56"/>
      <c r="I103" s="72"/>
      <c r="J103" s="46">
        <f>SUM(J99:J102)</f>
        <v>105256.82390761458</v>
      </c>
      <c r="K103" s="83">
        <f>J103/D103</f>
        <v>0.07505886554702115</v>
      </c>
      <c r="P103" s="138">
        <f>D103-'Table 3.15-Route UAA NoPARS'!D103-'Table 3.16-Route UAA PARS'!D103</f>
        <v>0</v>
      </c>
      <c r="Q103" s="138">
        <f>J103-'Table 3.15-Route UAA NoPARS'!J103-'Table 3.16-Route UAA PARS'!J103</f>
        <v>0</v>
      </c>
    </row>
    <row r="104" spans="1:11" ht="4.5" customHeight="1">
      <c r="A104" s="21"/>
      <c r="B104" s="56"/>
      <c r="C104" s="46"/>
      <c r="D104" s="40"/>
      <c r="E104" s="40"/>
      <c r="F104" s="56"/>
      <c r="G104" s="159"/>
      <c r="H104" s="56"/>
      <c r="I104" s="72"/>
      <c r="J104" s="46"/>
      <c r="K104" s="83"/>
    </row>
    <row r="105" ht="12.75">
      <c r="A105" s="82" t="s">
        <v>392</v>
      </c>
    </row>
    <row r="106" spans="1:17" ht="12.75">
      <c r="A106" s="338" t="s">
        <v>386</v>
      </c>
      <c r="B106" s="56" t="s">
        <v>106</v>
      </c>
      <c r="C106" s="46" t="s">
        <v>106</v>
      </c>
      <c r="D106" s="40">
        <f>D52</f>
        <v>106562.47008640773</v>
      </c>
      <c r="E106" s="40"/>
      <c r="F106" s="56" t="s">
        <v>106</v>
      </c>
      <c r="G106" s="159"/>
      <c r="H106" s="56" t="s">
        <v>106</v>
      </c>
      <c r="I106" s="72"/>
      <c r="J106" s="46">
        <f>J52+SUM($J$90:$J$91)*D106/SUM($D$103,$D$109)</f>
        <v>7880.699584656072</v>
      </c>
      <c r="K106" s="83">
        <f aca="true" t="shared" si="2" ref="K106:K111">J106/D106</f>
        <v>0.0739537998534183</v>
      </c>
      <c r="P106" s="138">
        <f>D106-'Table 3.15-Route UAA NoPARS'!D106-'Table 3.16-Route UAA PARS'!D106</f>
        <v>0</v>
      </c>
      <c r="Q106" s="138">
        <f>J106-'Table 3.15-Route UAA NoPARS'!J106-'Table 3.16-Route UAA PARS'!J106</f>
        <v>0</v>
      </c>
    </row>
    <row r="107" spans="1:17" ht="12.75">
      <c r="A107" s="338" t="s">
        <v>393</v>
      </c>
      <c r="B107" s="56" t="s">
        <v>106</v>
      </c>
      <c r="C107" s="46" t="s">
        <v>106</v>
      </c>
      <c r="D107" s="40">
        <f>D60</f>
        <v>51281.23353687171</v>
      </c>
      <c r="E107" s="40"/>
      <c r="F107" s="56" t="s">
        <v>106</v>
      </c>
      <c r="G107" s="159"/>
      <c r="H107" s="56" t="s">
        <v>106</v>
      </c>
      <c r="I107" s="72"/>
      <c r="J107" s="46">
        <f>J60+SUM($J$90:$J$91)*D107/SUM($D$103,$D$109)</f>
        <v>3633.054682501368</v>
      </c>
      <c r="K107" s="83">
        <f t="shared" si="2"/>
        <v>0.07084569601644168</v>
      </c>
      <c r="P107" s="138">
        <f>D107-'Table 3.15-Route UAA NoPARS'!D107-'Table 3.16-Route UAA PARS'!D107</f>
        <v>0</v>
      </c>
      <c r="Q107" s="138">
        <f>J107-'Table 3.15-Route UAA NoPARS'!J107-'Table 3.16-Route UAA PARS'!J107</f>
        <v>0</v>
      </c>
    </row>
    <row r="108" spans="1:17" ht="12.75">
      <c r="A108" s="338" t="s">
        <v>388</v>
      </c>
      <c r="B108" s="56" t="s">
        <v>106</v>
      </c>
      <c r="C108" s="46" t="s">
        <v>106</v>
      </c>
      <c r="D108" s="40">
        <f>D67</f>
        <v>58220.04862606706</v>
      </c>
      <c r="E108" s="40"/>
      <c r="F108" s="56" t="s">
        <v>106</v>
      </c>
      <c r="G108" s="159"/>
      <c r="H108" s="56" t="s">
        <v>106</v>
      </c>
      <c r="I108" s="72"/>
      <c r="J108" s="46">
        <f>J67+SUM($J$90:$J$91)*D108/SUM($D$103,$D$109)</f>
        <v>5189.734906579189</v>
      </c>
      <c r="K108" s="83">
        <f t="shared" si="2"/>
        <v>0.08913999608470906</v>
      </c>
      <c r="P108" s="138">
        <f>D108-'Table 3.15-Route UAA NoPARS'!D108-'Table 3.16-Route UAA PARS'!D108</f>
        <v>1.4551915228366852E-11</v>
      </c>
      <c r="Q108" s="138">
        <f>J108-'Table 3.15-Route UAA NoPARS'!J108-'Table 3.16-Route UAA PARS'!J108</f>
        <v>0</v>
      </c>
    </row>
    <row r="109" spans="1:17" ht="12.75">
      <c r="A109" s="338" t="s">
        <v>394</v>
      </c>
      <c r="B109" s="56"/>
      <c r="C109" s="46"/>
      <c r="D109" s="40">
        <f>SUM(D106:D108)</f>
        <v>216063.7522493465</v>
      </c>
      <c r="E109" s="40"/>
      <c r="F109" s="56"/>
      <c r="G109" s="159"/>
      <c r="H109" s="56"/>
      <c r="I109" s="72"/>
      <c r="J109" s="46">
        <f>SUM(J106:J108)</f>
        <v>16703.48917373663</v>
      </c>
      <c r="K109" s="83">
        <f t="shared" si="2"/>
        <v>0.07730815095009604</v>
      </c>
      <c r="P109" s="138">
        <f>D109-'Table 3.15-Route UAA NoPARS'!D109-'Table 3.16-Route UAA PARS'!D109</f>
        <v>0</v>
      </c>
      <c r="Q109" s="138">
        <f>J109-'Table 3.15-Route UAA NoPARS'!J109-'Table 3.16-Route UAA PARS'!J109</f>
        <v>0</v>
      </c>
    </row>
    <row r="110" spans="1:11" ht="4.5" customHeight="1">
      <c r="A110" s="21"/>
      <c r="B110" s="56"/>
      <c r="C110" s="46"/>
      <c r="D110" s="40"/>
      <c r="E110" s="40"/>
      <c r="F110" s="56"/>
      <c r="G110" s="159"/>
      <c r="H110" s="56"/>
      <c r="I110" s="72"/>
      <c r="J110" s="46"/>
      <c r="K110" s="83"/>
    </row>
    <row r="111" spans="1:17" ht="12.75">
      <c r="A111" s="82" t="s">
        <v>286</v>
      </c>
      <c r="B111" s="56" t="s">
        <v>106</v>
      </c>
      <c r="C111" s="46" t="s">
        <v>106</v>
      </c>
      <c r="D111" s="40">
        <f>D82</f>
        <v>2057289.0077708026</v>
      </c>
      <c r="E111" s="40"/>
      <c r="F111" s="56"/>
      <c r="G111" s="159"/>
      <c r="H111" s="56"/>
      <c r="I111" s="72"/>
      <c r="J111" s="46">
        <f>SUM(J93:J94)+J82</f>
        <v>68244.67128192</v>
      </c>
      <c r="K111" s="83">
        <f t="shared" si="2"/>
        <v>0.033172136255113345</v>
      </c>
      <c r="P111" s="138">
        <f>D111-'Table 3.15-Route UAA NoPARS'!D111-'Table 3.16-Route UAA PARS'!D111</f>
        <v>0</v>
      </c>
      <c r="Q111" s="138">
        <f>J111-'Table 3.15-Route UAA NoPARS'!J111-'Table 3.16-Route UAA PARS'!J111</f>
        <v>0</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-3.183231456205249E-12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-3.7834979593753815E-10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sheetPr codeName="Sheet38"/>
  <dimension ref="A1:T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672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85.31908290190317</v>
      </c>
      <c r="C7" s="46">
        <v>3018.1033538178817</v>
      </c>
      <c r="D7" s="135">
        <v>39066.44461774489</v>
      </c>
      <c r="E7" s="135"/>
      <c r="F7" s="83">
        <f>IF(D7&lt;&gt;0,C7/D7,0)</f>
        <v>0.07725564441170028</v>
      </c>
      <c r="G7" s="159"/>
      <c r="H7" s="54">
        <v>1.3882853153395636</v>
      </c>
      <c r="I7" s="72"/>
      <c r="J7" s="46">
        <f>C7*H7</f>
        <v>4189.988566282453</v>
      </c>
      <c r="K7" s="83">
        <f>F7*(H7)</f>
        <v>0.10725287666385852</v>
      </c>
    </row>
    <row r="8" spans="1:11" ht="12.75" customHeight="1">
      <c r="A8" s="338" t="s">
        <v>136</v>
      </c>
      <c r="B8" s="135">
        <v>17.55132340633987</v>
      </c>
      <c r="C8" s="46">
        <v>641.8319936100584</v>
      </c>
      <c r="D8" s="135">
        <v>8233.874824981574</v>
      </c>
      <c r="E8" s="135"/>
      <c r="F8" s="83">
        <f>IF(D8&lt;&gt;0,C8/D8,0)</f>
        <v>0.07795017622356126</v>
      </c>
      <c r="G8" s="159"/>
      <c r="H8" s="54">
        <v>1.280106436830296</v>
      </c>
      <c r="I8" s="72"/>
      <c r="J8" s="46">
        <f>C8*H8</f>
        <v>821.6132663838571</v>
      </c>
      <c r="K8" s="83">
        <f>F8*(H8)</f>
        <v>0.09978452233583666</v>
      </c>
    </row>
    <row r="9" spans="1:11" ht="12.75">
      <c r="A9" s="337" t="s">
        <v>137</v>
      </c>
      <c r="B9" s="135">
        <v>9.469712255338544</v>
      </c>
      <c r="C9" s="46">
        <v>393.3365906013819</v>
      </c>
      <c r="D9" s="135">
        <v>4354.547059551443</v>
      </c>
      <c r="E9" s="135"/>
      <c r="F9" s="83">
        <f>IF(D9&lt;&gt;0,C9/D9,0)</f>
        <v>0.09032778500777047</v>
      </c>
      <c r="G9" s="159"/>
      <c r="H9" s="54">
        <v>1.5205589342948984</v>
      </c>
      <c r="I9" s="48"/>
      <c r="J9" s="46">
        <f>C9*H9</f>
        <v>598.091467024026</v>
      </c>
      <c r="K9" s="83">
        <f>F9*(H9)</f>
        <v>0.13734872050863417</v>
      </c>
    </row>
    <row r="10" spans="1:11" ht="12.75">
      <c r="A10" s="337" t="s">
        <v>107</v>
      </c>
      <c r="B10" s="135">
        <v>0.5414421972780091</v>
      </c>
      <c r="C10" s="46">
        <v>20.711517651377044</v>
      </c>
      <c r="D10" s="135">
        <v>444.46061554425876</v>
      </c>
      <c r="E10" s="135"/>
      <c r="F10" s="83">
        <f>IF(D10&lt;&gt;0,C10/D10,0)</f>
        <v>0.046599219204192056</v>
      </c>
      <c r="G10" s="159"/>
      <c r="H10" s="54">
        <v>1.280106436830296</v>
      </c>
      <c r="I10" s="72"/>
      <c r="J10" s="46">
        <f>C10*H10</f>
        <v>26.512947062052046</v>
      </c>
      <c r="K10" s="83">
        <f>F10*(H10)</f>
        <v>0.05965196045455219</v>
      </c>
    </row>
    <row r="11" spans="1:12" ht="12.75">
      <c r="A11" s="337" t="s">
        <v>277</v>
      </c>
      <c r="B11" s="135">
        <f>SUM(B7:B10)</f>
        <v>112.88156076085961</v>
      </c>
      <c r="C11" s="46">
        <f>SUM(C7:C10)</f>
        <v>4073.983455680699</v>
      </c>
      <c r="D11" s="135">
        <f>SUM(D7:D10)</f>
        <v>52099.32711782217</v>
      </c>
      <c r="E11" s="135"/>
      <c r="F11" s="83">
        <f>IF(D11&lt;&gt;0,C11/D11,0)</f>
        <v>0.07819646972536558</v>
      </c>
      <c r="G11" s="159"/>
      <c r="H11" s="54"/>
      <c r="I11" s="72"/>
      <c r="J11" s="46">
        <f>SUM(J7:J10)</f>
        <v>5636.206246752388</v>
      </c>
      <c r="K11" s="83">
        <f>SUMPRODUCT(K7:K10,D7:D10)/D11</f>
        <v>0.10818193935607187</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3.706668118488223</v>
      </c>
      <c r="C14" s="46">
        <v>141.57881070713057</v>
      </c>
      <c r="D14" s="135">
        <v>1646.129008870025</v>
      </c>
      <c r="E14" s="135"/>
      <c r="F14" s="83">
        <f>IF(D14&lt;&gt;0,C14/D14,0)</f>
        <v>0.0860071172698162</v>
      </c>
      <c r="G14" s="159"/>
      <c r="H14" s="54">
        <v>1.3882853153395636</v>
      </c>
      <c r="I14" s="72"/>
      <c r="J14" s="46">
        <f>C14*H14</f>
        <v>196.55178386794915</v>
      </c>
      <c r="K14" s="83">
        <f>F14*(H14)</f>
        <v>0.11940241792037361</v>
      </c>
      <c r="L14" s="84"/>
    </row>
    <row r="15" spans="1:12" ht="12.75">
      <c r="A15" s="338" t="s">
        <v>136</v>
      </c>
      <c r="B15" s="135">
        <v>3.264137559062478</v>
      </c>
      <c r="C15" s="46">
        <v>145.59579056266446</v>
      </c>
      <c r="D15" s="135">
        <v>1470.3015486491906</v>
      </c>
      <c r="E15" s="135"/>
      <c r="F15" s="83">
        <f>IF(D15&lt;&gt;0,C15/D15,0)</f>
        <v>0.09902444209245893</v>
      </c>
      <c r="G15" s="159"/>
      <c r="H15" s="54">
        <v>1.280106436830296</v>
      </c>
      <c r="I15" s="72"/>
      <c r="J15" s="46">
        <f>C15*H15</f>
        <v>186.37810867466243</v>
      </c>
      <c r="K15" s="83">
        <f>F15*(H15)</f>
        <v>0.12676182572608558</v>
      </c>
      <c r="L15" s="84"/>
    </row>
    <row r="16" spans="1:12" ht="12.75">
      <c r="A16" s="337" t="s">
        <v>137</v>
      </c>
      <c r="B16" s="135">
        <v>23.610070815174804</v>
      </c>
      <c r="C16" s="46">
        <v>164.23055678175118</v>
      </c>
      <c r="D16" s="135">
        <v>4746.365952581196</v>
      </c>
      <c r="E16" s="135"/>
      <c r="F16" s="83">
        <f>IF(D16&lt;&gt;0,C16/D16,0)</f>
        <v>0.03460132624043419</v>
      </c>
      <c r="G16" s="159"/>
      <c r="H16" s="54">
        <v>1.5205589342948984</v>
      </c>
      <c r="I16" s="72"/>
      <c r="J16" s="46">
        <f>C16*H16</f>
        <v>249.72224039871736</v>
      </c>
      <c r="K16" s="83">
        <f>F16*(H16)</f>
        <v>0.052613355753344714</v>
      </c>
      <c r="L16" s="84"/>
    </row>
    <row r="17" spans="1:12" ht="12.75" customHeight="1">
      <c r="A17" s="337" t="s">
        <v>107</v>
      </c>
      <c r="B17" s="135">
        <v>0</v>
      </c>
      <c r="C17" s="46">
        <v>0</v>
      </c>
      <c r="D17" s="135">
        <v>0</v>
      </c>
      <c r="E17" s="135"/>
      <c r="F17" s="83">
        <f>IF(D17&lt;&gt;0,C17/D17,0)</f>
        <v>0</v>
      </c>
      <c r="G17" s="159"/>
      <c r="H17" s="54">
        <v>1.280106436830296</v>
      </c>
      <c r="I17" s="72"/>
      <c r="J17" s="46">
        <f>C17*H17</f>
        <v>0</v>
      </c>
      <c r="K17" s="83">
        <f>F17*(H17)</f>
        <v>0</v>
      </c>
      <c r="L17" s="84"/>
    </row>
    <row r="18" spans="1:12" ht="12.75">
      <c r="A18" s="337" t="s">
        <v>277</v>
      </c>
      <c r="B18" s="135">
        <f>SUM(B14:B17)</f>
        <v>30.580876492725505</v>
      </c>
      <c r="C18" s="46">
        <f>SUM(C14:C17)</f>
        <v>451.4051580515462</v>
      </c>
      <c r="D18" s="135">
        <f>SUM(D14:D17)</f>
        <v>7862.796510100412</v>
      </c>
      <c r="E18" s="135"/>
      <c r="F18" s="83">
        <f>IF(D18&lt;&gt;0,C18/D18,0)</f>
        <v>0.05741025568596096</v>
      </c>
      <c r="G18" s="159"/>
      <c r="H18" s="54"/>
      <c r="I18" s="72"/>
      <c r="J18" s="46">
        <f>SUM(J14:J17)</f>
        <v>632.652132941329</v>
      </c>
      <c r="K18" s="83">
        <f>SUMPRODUCT(K14:K17,D14:D17)/D18</f>
        <v>0.08046146585742554</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56.71916765760003</v>
      </c>
      <c r="C21" s="46">
        <v>2152.172874114336</v>
      </c>
      <c r="D21" s="135">
        <v>24856.211237912106</v>
      </c>
      <c r="E21" s="135"/>
      <c r="F21" s="83">
        <f>IF(D21&lt;&gt;0,C21/D21,0)</f>
        <v>0.08658491245969618</v>
      </c>
      <c r="G21" s="159"/>
      <c r="H21" s="54">
        <v>1.3882853153395636</v>
      </c>
      <c r="I21" s="72"/>
      <c r="J21" s="46">
        <f>C21*H21</f>
        <v>2987.829997205076</v>
      </c>
      <c r="K21" s="83">
        <f>F21*(H21)</f>
        <v>0.12020456249775782</v>
      </c>
      <c r="L21" s="84"/>
    </row>
    <row r="22" spans="1:12" ht="12.75" customHeight="1">
      <c r="A22" s="338" t="s">
        <v>136</v>
      </c>
      <c r="B22" s="135">
        <v>12.017151967881306</v>
      </c>
      <c r="C22" s="46">
        <v>529.3464747300682</v>
      </c>
      <c r="D22" s="135">
        <v>5303.643547836615</v>
      </c>
      <c r="E22" s="135"/>
      <c r="F22" s="83">
        <f>IF(D22&lt;&gt;0,C22/D22,0)</f>
        <v>0.09980807909799887</v>
      </c>
      <c r="G22" s="159"/>
      <c r="H22" s="54">
        <v>1.280106436830296</v>
      </c>
      <c r="I22" s="72"/>
      <c r="J22" s="46">
        <f>C22*H22</f>
        <v>677.6198296153858</v>
      </c>
      <c r="K22" s="83">
        <f>F22*(H22)</f>
        <v>0.12776496450101565</v>
      </c>
      <c r="L22" s="84"/>
    </row>
    <row r="23" spans="1:12" ht="12.75" customHeight="1">
      <c r="A23" s="337" t="s">
        <v>137</v>
      </c>
      <c r="B23" s="135">
        <v>8.357747471733044</v>
      </c>
      <c r="C23" s="46">
        <v>443.89562288132595</v>
      </c>
      <c r="D23" s="135">
        <v>3647.374886656674</v>
      </c>
      <c r="E23" s="135"/>
      <c r="F23" s="83">
        <f>IF(D23&lt;&gt;0,C23/D23,0)</f>
        <v>0.12170276888872752</v>
      </c>
      <c r="G23" s="159"/>
      <c r="H23" s="54">
        <v>1.5205589342948984</v>
      </c>
      <c r="I23" s="72"/>
      <c r="J23" s="46">
        <f>C23*H23</f>
        <v>674.9694552665991</v>
      </c>
      <c r="K23" s="83">
        <f>F23*(H23)</f>
        <v>0.18505623256218184</v>
      </c>
      <c r="L23" s="84"/>
    </row>
    <row r="24" spans="1:12" ht="12.75" customHeight="1">
      <c r="A24" s="337" t="s">
        <v>107</v>
      </c>
      <c r="B24" s="135">
        <v>0</v>
      </c>
      <c r="C24" s="46">
        <v>0</v>
      </c>
      <c r="D24" s="135">
        <v>0</v>
      </c>
      <c r="E24" s="135"/>
      <c r="F24" s="83">
        <f>IF(D24&lt;&gt;0,C24/D24,0)</f>
        <v>0</v>
      </c>
      <c r="G24" s="159"/>
      <c r="H24" s="54">
        <v>1.280106436830296</v>
      </c>
      <c r="I24" s="72"/>
      <c r="J24" s="46">
        <f>C24*H24</f>
        <v>0</v>
      </c>
      <c r="K24" s="83">
        <f>F24*(H24)</f>
        <v>0</v>
      </c>
      <c r="L24" s="84"/>
    </row>
    <row r="25" spans="1:12" ht="12.75" customHeight="1">
      <c r="A25" s="337" t="s">
        <v>277</v>
      </c>
      <c r="B25" s="135">
        <f>SUM(B21:B24)</f>
        <v>77.09406709721439</v>
      </c>
      <c r="C25" s="46">
        <f>SUM(C21:C24)</f>
        <v>3125.41497172573</v>
      </c>
      <c r="D25" s="135">
        <f>SUM(D21:D24)</f>
        <v>33807.229672405396</v>
      </c>
      <c r="E25" s="135"/>
      <c r="F25" s="83">
        <f>IF(D25&lt;&gt;0,C25/D25,0)</f>
        <v>0.09244812432166838</v>
      </c>
      <c r="G25" s="159"/>
      <c r="H25" s="54"/>
      <c r="I25" s="72"/>
      <c r="J25" s="46">
        <f>SUM(J21:J24)</f>
        <v>4340.41928208706</v>
      </c>
      <c r="K25" s="83">
        <f>SUMPRODUCT(K21:K24,D21:D24)/D25</f>
        <v>0.12838731017436364</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32.17670698623184</v>
      </c>
      <c r="C28" s="46">
        <v>1163.6477798001174</v>
      </c>
      <c r="D28" s="135">
        <v>23808.454374343226</v>
      </c>
      <c r="E28" s="135"/>
      <c r="F28" s="83">
        <f>IF(D28&lt;&gt;0,C28/D28,0)</f>
        <v>0.04887540205273059</v>
      </c>
      <c r="G28" s="159"/>
      <c r="H28" s="54">
        <v>1.3882853153395636</v>
      </c>
      <c r="I28" s="72"/>
      <c r="J28" s="46">
        <f>C28*H28</f>
        <v>1615.475124923989</v>
      </c>
      <c r="K28" s="83">
        <f>F28*(H28)</f>
        <v>0.06785300295112304</v>
      </c>
      <c r="L28" s="84"/>
    </row>
    <row r="29" spans="1:12" ht="12.75" customHeight="1">
      <c r="A29" s="338" t="s">
        <v>136</v>
      </c>
      <c r="B29" s="135">
        <v>16.937127586417372</v>
      </c>
      <c r="C29" s="46">
        <v>376.11319636352044</v>
      </c>
      <c r="D29" s="135">
        <v>11994.365693209696</v>
      </c>
      <c r="E29" s="135"/>
      <c r="F29" s="83">
        <f>IF(D29&lt;&gt;0,C29/D29,0)</f>
        <v>0.03135748950663121</v>
      </c>
      <c r="G29" s="159"/>
      <c r="H29" s="54">
        <v>1.280106436830296</v>
      </c>
      <c r="I29" s="72"/>
      <c r="J29" s="46">
        <f>C29*H29</f>
        <v>481.4649236417596</v>
      </c>
      <c r="K29" s="83">
        <f>F29*(H29)</f>
        <v>0.04014092416027707</v>
      </c>
      <c r="L29" s="84"/>
    </row>
    <row r="30" spans="1:12" ht="12.75" customHeight="1">
      <c r="A30" s="337" t="s">
        <v>137</v>
      </c>
      <c r="B30" s="135">
        <v>13.564808527703184</v>
      </c>
      <c r="C30" s="46">
        <v>1227.3374604666828</v>
      </c>
      <c r="D30" s="135">
        <v>7089.660450182213</v>
      </c>
      <c r="E30" s="135"/>
      <c r="F30" s="83">
        <f>IF(D30&lt;&gt;0,C30/D30,0)</f>
        <v>0.17311653627010287</v>
      </c>
      <c r="G30" s="159"/>
      <c r="H30" s="54">
        <v>1.5205589342948984</v>
      </c>
      <c r="I30" s="72"/>
      <c r="J30" s="46">
        <f>C30*H30</f>
        <v>1866.2389409074262</v>
      </c>
      <c r="K30" s="83">
        <f>F30*(H30)</f>
        <v>0.26323389589969176</v>
      </c>
      <c r="L30" s="84"/>
    </row>
    <row r="31" spans="1:12" ht="12.75" customHeight="1">
      <c r="A31" s="337" t="s">
        <v>107</v>
      </c>
      <c r="B31" s="135">
        <v>0.12011427073386222</v>
      </c>
      <c r="C31" s="46">
        <v>4.594671141247064</v>
      </c>
      <c r="D31" s="135">
        <v>91.74599338516579</v>
      </c>
      <c r="E31" s="135"/>
      <c r="F31" s="83">
        <f>IF(D31&lt;&gt;0,C31/D31,0)</f>
        <v>0.050080346527589796</v>
      </c>
      <c r="G31" s="159"/>
      <c r="H31" s="54">
        <v>1.280106436830296</v>
      </c>
      <c r="I31" s="72"/>
      <c r="J31" s="46">
        <f>C31*H31</f>
        <v>5.881668103028768</v>
      </c>
      <c r="K31" s="83">
        <f>F31*(H31)</f>
        <v>0.06410817394865946</v>
      </c>
      <c r="L31" s="84"/>
    </row>
    <row r="32" spans="1:12" ht="12.75" customHeight="1">
      <c r="A32" s="337" t="s">
        <v>277</v>
      </c>
      <c r="B32" s="135">
        <f>SUM(B28:B31)</f>
        <v>62.79875737108626</v>
      </c>
      <c r="C32" s="46">
        <f>SUM(C28:C31)</f>
        <v>2771.693107771568</v>
      </c>
      <c r="D32" s="135">
        <f>SUM(D28:D31)</f>
        <v>42984.2265111203</v>
      </c>
      <c r="E32" s="135"/>
      <c r="F32" s="83">
        <f>IF(D32&lt;&gt;0,C32/D32,0)</f>
        <v>0.06448163274624734</v>
      </c>
      <c r="G32" s="159"/>
      <c r="H32" s="54"/>
      <c r="I32" s="72"/>
      <c r="J32" s="46">
        <f>SUM(J28:J31)</f>
        <v>3969.0606575762035</v>
      </c>
      <c r="K32" s="83">
        <f>SUMPRODUCT(K28:K31,D28:D31)/D32</f>
        <v>0.09233760799556047</v>
      </c>
      <c r="L32" s="84"/>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177.92162566422326</v>
      </c>
      <c r="C35" s="46">
        <f t="shared" si="0"/>
        <v>6475.502818439467</v>
      </c>
      <c r="D35" s="135">
        <f t="shared" si="0"/>
        <v>89377.23923887026</v>
      </c>
      <c r="E35" s="135"/>
      <c r="F35" s="83">
        <f>IF(D35&lt;&gt;0,C35/D35,0)</f>
        <v>0.0724513631611846</v>
      </c>
      <c r="G35" s="159"/>
      <c r="H35" s="54">
        <v>1.3882853153395636</v>
      </c>
      <c r="I35" s="72"/>
      <c r="J35" s="46">
        <f>SUM(J7,J14,J21,J28)</f>
        <v>8989.845472279467</v>
      </c>
      <c r="K35" s="83">
        <f>F35*(H35)</f>
        <v>0.1005831635530064</v>
      </c>
      <c r="L35" s="84"/>
    </row>
    <row r="36" spans="1:12" ht="12.75">
      <c r="A36" s="338" t="s">
        <v>136</v>
      </c>
      <c r="B36" s="135">
        <f t="shared" si="0"/>
        <v>49.76974051970102</v>
      </c>
      <c r="C36" s="46">
        <f t="shared" si="0"/>
        <v>1692.8874552663115</v>
      </c>
      <c r="D36" s="135">
        <f t="shared" si="0"/>
        <v>27002.185614677077</v>
      </c>
      <c r="E36" s="135"/>
      <c r="F36" s="83">
        <f>IF(D36&lt;&gt;0,C36/D36,0)</f>
        <v>0.0626944603456892</v>
      </c>
      <c r="G36" s="159"/>
      <c r="H36" s="54">
        <v>1.280106436830296</v>
      </c>
      <c r="I36" s="72"/>
      <c r="J36" s="46">
        <f>SUM(J8,J15,J22,J29)</f>
        <v>2167.076128315665</v>
      </c>
      <c r="K36" s="83">
        <f>F36*(H36)</f>
        <v>0.0802555822421185</v>
      </c>
      <c r="L36" s="84"/>
    </row>
    <row r="37" spans="1:12" ht="12.75">
      <c r="A37" s="337" t="s">
        <v>137</v>
      </c>
      <c r="B37" s="135">
        <f t="shared" si="0"/>
        <v>55.00233906994958</v>
      </c>
      <c r="C37" s="46">
        <f t="shared" si="0"/>
        <v>2228.8002307311417</v>
      </c>
      <c r="D37" s="135">
        <f t="shared" si="0"/>
        <v>19837.948348971528</v>
      </c>
      <c r="E37" s="135"/>
      <c r="F37" s="83">
        <f>IF(D37&lt;&gt;0,C37/D37,0)</f>
        <v>0.11235033943652196</v>
      </c>
      <c r="G37" s="159"/>
      <c r="H37" s="54">
        <v>1.5205589342948984</v>
      </c>
      <c r="I37" s="72"/>
      <c r="J37" s="46">
        <f>SUM(J9,J16,J23,J30)</f>
        <v>3389.022103596769</v>
      </c>
      <c r="K37" s="83">
        <f>F37*(H37)</f>
        <v>0.17083531240126792</v>
      </c>
      <c r="L37" s="84"/>
    </row>
    <row r="38" spans="1:12" ht="12.75">
      <c r="A38" s="337" t="s">
        <v>107</v>
      </c>
      <c r="B38" s="135">
        <f t="shared" si="0"/>
        <v>0.6615564680118713</v>
      </c>
      <c r="C38" s="46">
        <f t="shared" si="0"/>
        <v>25.306188792624106</v>
      </c>
      <c r="D38" s="135">
        <f t="shared" si="0"/>
        <v>536.2066089294245</v>
      </c>
      <c r="E38" s="135"/>
      <c r="F38" s="83">
        <f>IF(D38&lt;&gt;0,C38/D38,0)</f>
        <v>0.04719484685791126</v>
      </c>
      <c r="G38" s="159"/>
      <c r="H38" s="54">
        <v>1.280106436830296</v>
      </c>
      <c r="I38" s="72"/>
      <c r="J38" s="46">
        <f>SUM(J10,J17,J24,J31)</f>
        <v>32.394615165080815</v>
      </c>
      <c r="K38" s="83">
        <f>F38*(H38)</f>
        <v>0.06041442724803227</v>
      </c>
      <c r="L38" s="84"/>
    </row>
    <row r="39" spans="1:12" ht="12.75">
      <c r="A39" s="338" t="s">
        <v>102</v>
      </c>
      <c r="B39" s="135">
        <f>SUM(B35:B38)</f>
        <v>283.35526172188577</v>
      </c>
      <c r="C39" s="46">
        <f>SUM(C35:C38)</f>
        <v>10422.496693229543</v>
      </c>
      <c r="D39" s="135">
        <f>SUM(D35:D38)</f>
        <v>136753.5798114483</v>
      </c>
      <c r="E39" s="135"/>
      <c r="F39" s="83"/>
      <c r="G39" s="159"/>
      <c r="H39" s="54"/>
      <c r="I39" s="72"/>
      <c r="J39" s="46">
        <f>SUM(J35:J38)</f>
        <v>14578.338319356983</v>
      </c>
      <c r="K39" s="83">
        <f>SUMPRODUCT(K35:K38,D35:D38)/D39</f>
        <v>0.10660297404614312</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
      <c r="A42" s="158" t="s">
        <v>55</v>
      </c>
      <c r="L42" s="84"/>
    </row>
    <row r="43" spans="1:12" ht="1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33.42274556817551</v>
      </c>
      <c r="C48" s="46">
        <v>1121.1533746631947</v>
      </c>
      <c r="D48" s="135">
        <v>22672.941756185708</v>
      </c>
      <c r="E48" s="135"/>
      <c r="F48" s="83">
        <f>IF(D48&lt;&gt;0,C48/D48,0)</f>
        <v>0.04944895932427109</v>
      </c>
      <c r="G48" s="159"/>
      <c r="H48" s="54">
        <v>1.3882853153395636</v>
      </c>
      <c r="I48" s="72"/>
      <c r="J48" s="46">
        <f>C48*H48</f>
        <v>1556.480766288309</v>
      </c>
      <c r="K48" s="83">
        <f>F48*(H48)</f>
        <v>0.06864926408870894</v>
      </c>
      <c r="L48" s="84"/>
    </row>
    <row r="49" spans="1:12" ht="12.75">
      <c r="A49" s="338" t="s">
        <v>136</v>
      </c>
      <c r="B49" s="135">
        <v>11.24857571449571</v>
      </c>
      <c r="C49" s="46">
        <v>477.4693098504563</v>
      </c>
      <c r="D49" s="135">
        <v>9466.203070745243</v>
      </c>
      <c r="E49" s="135"/>
      <c r="F49" s="83">
        <f>IF(D49&lt;&gt;0,C49/D49,0)</f>
        <v>0.05043936901438844</v>
      </c>
      <c r="G49" s="159"/>
      <c r="H49" s="54">
        <v>1.280106436830296</v>
      </c>
      <c r="I49" s="72"/>
      <c r="J49" s="46">
        <f>C49*H49</f>
        <v>611.211536928488</v>
      </c>
      <c r="K49" s="83">
        <f>F49*(H49)</f>
        <v>0.06456776094497722</v>
      </c>
      <c r="L49" s="84"/>
    </row>
    <row r="50" spans="1:12" ht="12.75">
      <c r="A50" s="337" t="s">
        <v>137</v>
      </c>
      <c r="B50" s="53">
        <v>5.510956228858487</v>
      </c>
      <c r="C50" s="46">
        <v>385.88454746135625</v>
      </c>
      <c r="D50" s="53">
        <v>3758.445323444074</v>
      </c>
      <c r="E50" s="135"/>
      <c r="F50" s="83">
        <f>IF(D50&lt;&gt;0,C50/D50,0)</f>
        <v>0.10267132131850427</v>
      </c>
      <c r="G50" s="159"/>
      <c r="H50" s="54">
        <v>1.5205589342948984</v>
      </c>
      <c r="I50" s="72"/>
      <c r="J50" s="46">
        <f>C50*H50</f>
        <v>586.760196248709</v>
      </c>
      <c r="K50" s="83">
        <f>F50*(H50)</f>
        <v>0.15611779492671393</v>
      </c>
      <c r="L50" s="84"/>
    </row>
    <row r="51" spans="1:12" ht="12.75">
      <c r="A51" s="337" t="s">
        <v>107</v>
      </c>
      <c r="B51" s="53">
        <v>0.2866505860183436</v>
      </c>
      <c r="C51" s="46">
        <v>10.965101541666689</v>
      </c>
      <c r="D51" s="53">
        <v>250.86453603272233</v>
      </c>
      <c r="E51" s="135"/>
      <c r="F51" s="83">
        <f>IF(D51&lt;&gt;0,C51/D51,0)</f>
        <v>0.04370925326900898</v>
      </c>
      <c r="G51" s="159"/>
      <c r="H51" s="54">
        <v>1.280106436830296</v>
      </c>
      <c r="I51" s="72"/>
      <c r="J51" s="46">
        <f>C51*H51</f>
        <v>14.03649706398533</v>
      </c>
      <c r="K51" s="83">
        <f>F51*(H51)</f>
        <v>0.055952496458704044</v>
      </c>
      <c r="L51" s="84"/>
    </row>
    <row r="52" spans="1:12" ht="12.75">
      <c r="A52" s="337" t="s">
        <v>277</v>
      </c>
      <c r="B52" s="53">
        <f>SUM(B48:B51)</f>
        <v>50.46892809754805</v>
      </c>
      <c r="C52" s="46">
        <f>SUM(C48:C51)</f>
        <v>1995.4723335166739</v>
      </c>
      <c r="D52" s="53">
        <f>SUM(D48:D51)</f>
        <v>36148.45468640775</v>
      </c>
      <c r="E52" s="135"/>
      <c r="F52" s="41"/>
      <c r="G52" s="159"/>
      <c r="H52" s="54"/>
      <c r="I52" s="72"/>
      <c r="J52" s="46">
        <f>SUM(J48:J51)</f>
        <v>2768.488996529491</v>
      </c>
      <c r="K52" s="83">
        <f>SUMPRODUCT(K48:K51,D48:D51)/D52</f>
        <v>0.07658664860079001</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21.792682314654474</v>
      </c>
      <c r="C56" s="46">
        <v>848.2040061652516</v>
      </c>
      <c r="D56" s="135">
        <v>17610.72616033657</v>
      </c>
      <c r="E56" s="135"/>
      <c r="F56" s="83">
        <f>IF(D56&lt;&gt;0,C56/D56,0)</f>
        <v>0.04816405629403308</v>
      </c>
      <c r="G56" s="159"/>
      <c r="H56" s="54">
        <v>1.3882853153395636</v>
      </c>
      <c r="I56" s="72"/>
      <c r="J56" s="46">
        <f>C56*H56</f>
        <v>1177.5491661714075</v>
      </c>
      <c r="K56" s="83">
        <f>F56*(H56)</f>
        <v>0.0668654520801942</v>
      </c>
    </row>
    <row r="57" spans="1:11" ht="12.75">
      <c r="A57" s="338" t="s">
        <v>136</v>
      </c>
      <c r="B57" s="135">
        <v>10.198014860973288</v>
      </c>
      <c r="C57" s="46">
        <v>416.6087149947542</v>
      </c>
      <c r="D57" s="135">
        <v>8227.187701776633</v>
      </c>
      <c r="E57" s="135"/>
      <c r="F57" s="83">
        <f>IF(D57&lt;&gt;0,C57/D57,0)</f>
        <v>0.050638046693013826</v>
      </c>
      <c r="G57" s="159"/>
      <c r="H57" s="54">
        <v>1.280106436830296</v>
      </c>
      <c r="I57" s="72"/>
      <c r="J57" s="46">
        <f>C57*H57</f>
        <v>533.3034977043831</v>
      </c>
      <c r="K57" s="83">
        <f>F57*(H57)</f>
        <v>0.06482208952024007</v>
      </c>
    </row>
    <row r="58" spans="1:11" ht="12.75">
      <c r="A58" s="337" t="s">
        <v>137</v>
      </c>
      <c r="B58" s="53">
        <v>3.1435116611129814</v>
      </c>
      <c r="C58" s="46">
        <v>101.84587429757076</v>
      </c>
      <c r="D58" s="53">
        <v>2644.270381774276</v>
      </c>
      <c r="E58" s="135"/>
      <c r="F58" s="83">
        <f>IF(D58&lt;&gt;0,C58/D58,0)</f>
        <v>0.038515680922626874</v>
      </c>
      <c r="G58" s="159"/>
      <c r="H58" s="54">
        <v>1.5205589342948984</v>
      </c>
      <c r="I58" s="72"/>
      <c r="J58" s="46">
        <f>C58*H58</f>
        <v>154.86265408424637</v>
      </c>
      <c r="K58" s="83">
        <f>F58*(H58)</f>
        <v>0.05856536273735187</v>
      </c>
    </row>
    <row r="59" spans="1:11" ht="12.75">
      <c r="A59" s="337" t="s">
        <v>107</v>
      </c>
      <c r="B59" s="53">
        <v>0</v>
      </c>
      <c r="C59" s="46">
        <v>0</v>
      </c>
      <c r="D59" s="53">
        <v>0</v>
      </c>
      <c r="E59" s="135"/>
      <c r="F59" s="83">
        <f>IF(D59&lt;&gt;0,C59/D59,0)</f>
        <v>0</v>
      </c>
      <c r="G59" s="159"/>
      <c r="H59" s="54">
        <v>1.280106436830296</v>
      </c>
      <c r="I59" s="72"/>
      <c r="J59" s="46">
        <f>C59*H59</f>
        <v>0</v>
      </c>
      <c r="K59" s="83">
        <f>F59*(H59)</f>
        <v>0</v>
      </c>
    </row>
    <row r="60" spans="1:11" ht="12.75">
      <c r="A60" s="337" t="s">
        <v>277</v>
      </c>
      <c r="B60" s="53">
        <f>SUM(B56:B59)</f>
        <v>35.13420883674074</v>
      </c>
      <c r="C60" s="46">
        <f>SUM(C56:C59)</f>
        <v>1366.6585954575767</v>
      </c>
      <c r="D60" s="53">
        <f>SUM(D56:D59)</f>
        <v>28482.184243887477</v>
      </c>
      <c r="E60" s="135"/>
      <c r="F60" s="41"/>
      <c r="G60" s="159"/>
      <c r="H60" s="54"/>
      <c r="I60" s="72"/>
      <c r="J60" s="46">
        <f>SUM(J56:J59)</f>
        <v>1865.7153179600368</v>
      </c>
      <c r="K60" s="83">
        <f>SUMPRODUCT(K56:K59,D56:D59)/D60</f>
        <v>0.06550464325292873</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33.66192041467656</v>
      </c>
      <c r="C63" s="46">
        <v>1333.2278235551687</v>
      </c>
      <c r="D63" s="135">
        <v>27758.56868892893</v>
      </c>
      <c r="E63" s="11"/>
      <c r="F63" s="83">
        <f>IF(D63&lt;&gt;0,C63/D63,0)</f>
        <v>0.04802941529499342</v>
      </c>
      <c r="G63" s="11"/>
      <c r="H63" s="54">
        <v>1.3882853153395636</v>
      </c>
      <c r="I63" s="11"/>
      <c r="J63" s="46">
        <f>C63*H63</f>
        <v>1850.9006094437673</v>
      </c>
      <c r="K63" s="83">
        <f>F63*(H63)</f>
        <v>0.06667853195838479</v>
      </c>
    </row>
    <row r="64" spans="1:11" ht="12.75">
      <c r="A64" s="338" t="s">
        <v>136</v>
      </c>
      <c r="B64" s="135">
        <v>14.547120201984276</v>
      </c>
      <c r="C64" s="46">
        <v>634.4768597366478</v>
      </c>
      <c r="D64" s="135">
        <v>12612.854586669097</v>
      </c>
      <c r="E64" s="11"/>
      <c r="F64" s="83">
        <f>IF(D64&lt;&gt;0,C64/D64,0)</f>
        <v>0.05030398593568544</v>
      </c>
      <c r="G64" s="11"/>
      <c r="H64" s="54">
        <v>1.280106436830296</v>
      </c>
      <c r="I64" s="11"/>
      <c r="J64" s="46">
        <f>C64*H64</f>
        <v>812.1979121687557</v>
      </c>
      <c r="K64" s="83">
        <f>F64*(H64)</f>
        <v>0.0643944561944916</v>
      </c>
    </row>
    <row r="65" spans="1:11" ht="12.75">
      <c r="A65" s="337" t="s">
        <v>137</v>
      </c>
      <c r="B65" s="53">
        <v>9.313024288851638</v>
      </c>
      <c r="C65" s="46">
        <v>964.883727205277</v>
      </c>
      <c r="D65" s="53">
        <v>5028.032867214172</v>
      </c>
      <c r="E65" s="11"/>
      <c r="F65" s="83">
        <f>IF(D65&lt;&gt;0,C65/D65,0)</f>
        <v>0.19190083929182422</v>
      </c>
      <c r="G65" s="11"/>
      <c r="H65" s="54">
        <v>1.5205589342948984</v>
      </c>
      <c r="I65" s="11"/>
      <c r="J65" s="46">
        <f>C65*H65</f>
        <v>1467.1625719577455</v>
      </c>
      <c r="K65" s="83">
        <f>F65*(H65)</f>
        <v>0.2917965356838728</v>
      </c>
    </row>
    <row r="66" spans="1:11" ht="12.75">
      <c r="A66" s="337" t="s">
        <v>107</v>
      </c>
      <c r="B66" s="53">
        <v>0.28717877046723506</v>
      </c>
      <c r="C66" s="46">
        <v>10.985305917297907</v>
      </c>
      <c r="D66" s="53">
        <v>251.32678084635188</v>
      </c>
      <c r="E66" s="11"/>
      <c r="F66" s="83">
        <f>IF(D66&lt;&gt;0,C66/D66,0)</f>
        <v>0.04370925326900897</v>
      </c>
      <c r="G66" s="11"/>
      <c r="H66" s="54">
        <v>1.280106436830296</v>
      </c>
      <c r="I66" s="11"/>
      <c r="J66" s="46">
        <f>C66*H66</f>
        <v>14.06236081528299</v>
      </c>
      <c r="K66" s="83">
        <f>F66*(H66)</f>
        <v>0.05595249645870404</v>
      </c>
    </row>
    <row r="67" spans="1:11" ht="12.75">
      <c r="A67" s="337" t="s">
        <v>277</v>
      </c>
      <c r="B67" s="53">
        <f>SUM(B63:B66)</f>
        <v>57.80924367597971</v>
      </c>
      <c r="C67" s="46">
        <f>SUM(C63:C66)</f>
        <v>2943.5737164143916</v>
      </c>
      <c r="D67" s="53">
        <f>SUM(D63:D66)</f>
        <v>45650.782923658546</v>
      </c>
      <c r="E67" s="11"/>
      <c r="F67" s="11"/>
      <c r="G67" s="11"/>
      <c r="I67" s="11"/>
      <c r="J67" s="46">
        <f>SUM(J63:J66)</f>
        <v>4144.3234543855515</v>
      </c>
      <c r="K67" s="83">
        <f>SUMPRODUCT(K63:K66,D63:D66)/D67</f>
        <v>0.09078318462393234</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88.87734829750654</v>
      </c>
      <c r="C70" s="46">
        <f t="shared" si="1"/>
        <v>3302.585204383615</v>
      </c>
      <c r="D70" s="135">
        <f t="shared" si="1"/>
        <v>68042.23660545121</v>
      </c>
      <c r="E70" s="135"/>
      <c r="F70" s="83">
        <f>IF(D70&lt;&gt;0,C70/D70,0)</f>
        <v>0.048537281681875634</v>
      </c>
      <c r="G70" s="159"/>
      <c r="H70" s="54">
        <v>1.3882853153395636</v>
      </c>
      <c r="I70" s="72"/>
      <c r="J70" s="46">
        <f>C70*H70</f>
        <v>4584.930541903484</v>
      </c>
      <c r="K70" s="83">
        <f>F70*(H70)</f>
        <v>0.06738359540544793</v>
      </c>
    </row>
    <row r="71" spans="1:11" ht="12.75" customHeight="1">
      <c r="A71" s="338" t="s">
        <v>136</v>
      </c>
      <c r="B71" s="135">
        <f t="shared" si="1"/>
        <v>35.99371077745327</v>
      </c>
      <c r="C71" s="46">
        <f t="shared" si="1"/>
        <v>1528.5548845818585</v>
      </c>
      <c r="D71" s="135">
        <f t="shared" si="1"/>
        <v>30306.245359190973</v>
      </c>
      <c r="E71" s="135"/>
      <c r="F71" s="83">
        <f>IF(D71&lt;&gt;0,C71/D71,0)</f>
        <v>0.05043695998845643</v>
      </c>
      <c r="G71" s="159"/>
      <c r="H71" s="54">
        <v>1.280106436830296</v>
      </c>
      <c r="I71" s="72"/>
      <c r="J71" s="46">
        <f>C71*H71</f>
        <v>1956.7129468016271</v>
      </c>
      <c r="K71" s="83">
        <f>F71*(H71)</f>
        <v>0.06456467713537517</v>
      </c>
    </row>
    <row r="72" spans="1:11" ht="12.75" customHeight="1">
      <c r="A72" s="337" t="s">
        <v>137</v>
      </c>
      <c r="B72" s="135">
        <f t="shared" si="1"/>
        <v>17.967492178823107</v>
      </c>
      <c r="C72" s="46">
        <f t="shared" si="1"/>
        <v>1452.614148964204</v>
      </c>
      <c r="D72" s="135">
        <f t="shared" si="1"/>
        <v>11430.748572432523</v>
      </c>
      <c r="E72" s="135"/>
      <c r="F72" s="83">
        <f>IF(D72&lt;&gt;0,C72/D72,0)</f>
        <v>0.12707952937285893</v>
      </c>
      <c r="G72" s="159"/>
      <c r="H72" s="54">
        <v>1.5205589342948984</v>
      </c>
      <c r="I72" s="72"/>
      <c r="J72" s="46">
        <f>C72*H72</f>
        <v>2208.785422290701</v>
      </c>
      <c r="K72" s="83">
        <f>F72*(H72)</f>
        <v>0.19323191375389162</v>
      </c>
    </row>
    <row r="73" spans="1:11" ht="12.75" customHeight="1">
      <c r="A73" s="337" t="s">
        <v>107</v>
      </c>
      <c r="B73" s="135">
        <f t="shared" si="1"/>
        <v>0.5738293564855786</v>
      </c>
      <c r="C73" s="46">
        <f t="shared" si="1"/>
        <v>21.950407458964598</v>
      </c>
      <c r="D73" s="135">
        <f t="shared" si="1"/>
        <v>502.1913168790742</v>
      </c>
      <c r="E73" s="135"/>
      <c r="F73" s="83">
        <f>IF(D73&lt;&gt;0,C73/D73,0)</f>
        <v>0.04370925326900898</v>
      </c>
      <c r="G73" s="159"/>
      <c r="H73" s="54">
        <v>1.280106436830296</v>
      </c>
      <c r="I73" s="72"/>
      <c r="J73" s="46">
        <f>C73*H73</f>
        <v>28.098857879268323</v>
      </c>
      <c r="K73" s="83">
        <f>F73*(H73)</f>
        <v>0.055952496458704044</v>
      </c>
    </row>
    <row r="74" spans="1:11" ht="12.75" customHeight="1">
      <c r="A74" s="337" t="s">
        <v>102</v>
      </c>
      <c r="B74" s="135">
        <f>SUM(B70:B73)</f>
        <v>143.4123806102685</v>
      </c>
      <c r="C74" s="46">
        <f>SUM(C70:C73)</f>
        <v>6305.704645388642</v>
      </c>
      <c r="D74" s="135">
        <f>SUM(D70:D73)</f>
        <v>110281.42185395378</v>
      </c>
      <c r="E74" s="135"/>
      <c r="F74" s="41"/>
      <c r="G74" s="159"/>
      <c r="H74" s="54"/>
      <c r="I74" s="72"/>
      <c r="J74" s="46">
        <f>SUM(J70:J73)</f>
        <v>8778.52776887508</v>
      </c>
      <c r="K74" s="83">
        <f>SUMPRODUCT(K70:K73,D70:D73)/D74</f>
        <v>0.07960114787512013</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353.64606767909726</v>
      </c>
      <c r="C78" s="46">
        <v>14922.533838964102</v>
      </c>
      <c r="D78" s="135">
        <v>439757.65574914846</v>
      </c>
      <c r="E78" s="135"/>
      <c r="F78" s="83">
        <f>IF(D78&lt;&gt;0,C78/D78,0)</f>
        <v>0.033933539630010175</v>
      </c>
      <c r="G78" s="159"/>
      <c r="H78" s="54">
        <v>1.3882853153395636</v>
      </c>
      <c r="I78" s="72"/>
      <c r="J78" s="46">
        <f>C78*H78</f>
        <v>20716.734596291586</v>
      </c>
      <c r="K78" s="83">
        <f>F78*(H78)</f>
        <v>0.047109434765836254</v>
      </c>
      <c r="M78" s="63"/>
    </row>
    <row r="79" spans="1:13" ht="12.75">
      <c r="A79" s="338" t="s">
        <v>136</v>
      </c>
      <c r="B79" s="135">
        <v>102.86402609881752</v>
      </c>
      <c r="C79" s="46">
        <v>4198.483177865096</v>
      </c>
      <c r="D79" s="135">
        <v>127050.65919711928</v>
      </c>
      <c r="E79" s="135"/>
      <c r="F79" s="83">
        <f>IF(D79&lt;&gt;0,C79/D79,0)</f>
        <v>0.03304574100124222</v>
      </c>
      <c r="G79" s="159"/>
      <c r="H79" s="54">
        <v>1.280106436830296</v>
      </c>
      <c r="I79" s="72"/>
      <c r="J79" s="46">
        <f>C79*H79</f>
        <v>5374.505340908825</v>
      </c>
      <c r="K79" s="83">
        <f>F79*(H79)</f>
        <v>0.04230206576551699</v>
      </c>
      <c r="M79" s="63"/>
    </row>
    <row r="80" spans="1:13" ht="12.75">
      <c r="A80" s="337" t="s">
        <v>137</v>
      </c>
      <c r="B80" s="135">
        <v>30.71889899719166</v>
      </c>
      <c r="C80" s="46">
        <v>1311.2515631446245</v>
      </c>
      <c r="D80" s="135">
        <v>34544.272736729334</v>
      </c>
      <c r="E80" s="135"/>
      <c r="F80" s="83">
        <f>IF(D80&lt;&gt;0,C80/D80,0)</f>
        <v>0.037958580663660375</v>
      </c>
      <c r="G80" s="159"/>
      <c r="H80" s="54">
        <v>1.5205589342948984</v>
      </c>
      <c r="I80" s="72"/>
      <c r="J80" s="46">
        <f>C80*H80</f>
        <v>1993.8352794477098</v>
      </c>
      <c r="K80" s="83">
        <f>F80*(H80)</f>
        <v>0.05771825896128236</v>
      </c>
      <c r="M80" s="63"/>
    </row>
    <row r="81" spans="1:13" ht="12.75">
      <c r="A81" s="337" t="s">
        <v>107</v>
      </c>
      <c r="B81" s="135">
        <v>4.0411962452185834</v>
      </c>
      <c r="C81" s="46">
        <v>154.58585937022386</v>
      </c>
      <c r="D81" s="135">
        <v>2870.5780192998973</v>
      </c>
      <c r="E81" s="135"/>
      <c r="F81" s="83">
        <f>IF(D81&lt;&gt;0,C81/D81,0)</f>
        <v>0.05385182298857206</v>
      </c>
      <c r="G81" s="159"/>
      <c r="H81" s="54">
        <v>1.280106436830296</v>
      </c>
      <c r="I81" s="72"/>
      <c r="J81" s="46">
        <f>C81*H81</f>
        <v>197.88635362276648</v>
      </c>
      <c r="K81" s="83">
        <f>F81*(H81)</f>
        <v>0.0689360652427168</v>
      </c>
      <c r="M81" s="63"/>
    </row>
    <row r="82" spans="1:13" ht="12.75">
      <c r="A82" s="337" t="s">
        <v>102</v>
      </c>
      <c r="B82" s="135">
        <f>SUM(B78:B81)</f>
        <v>491.27018902032506</v>
      </c>
      <c r="C82" s="46">
        <f>SUM(C78:C81)</f>
        <v>20586.85443934405</v>
      </c>
      <c r="D82" s="135">
        <f>SUM(D78:D81)</f>
        <v>604223.165702297</v>
      </c>
      <c r="E82" s="135"/>
      <c r="F82" s="83">
        <f>IF(D82&lt;&gt;0,C82/D82,0)</f>
        <v>0.03407160732643486</v>
      </c>
      <c r="G82" s="159"/>
      <c r="H82" s="54"/>
      <c r="I82" s="72"/>
      <c r="J82" s="46">
        <f>SUM(J78:J81)</f>
        <v>28282.961570270887</v>
      </c>
      <c r="K82" s="83">
        <f>SUMPRODUCT(K78:K81,D78:D81)/D82</f>
        <v>0.046808800416311754</v>
      </c>
      <c r="M82" s="63"/>
    </row>
    <row r="83" spans="2:11" ht="4.5" customHeight="1">
      <c r="B83" s="57"/>
      <c r="C83" s="46"/>
      <c r="D83" s="44"/>
      <c r="E83" s="44"/>
      <c r="F83" s="45"/>
      <c r="G83" s="23"/>
      <c r="H83" s="55"/>
      <c r="I83" s="79"/>
      <c r="J83" s="46"/>
      <c r="K83" s="41"/>
    </row>
    <row r="84" ht="12.75" customHeight="1"/>
    <row r="85" ht="15">
      <c r="A85" s="158" t="s">
        <v>56</v>
      </c>
    </row>
    <row r="86" ht="1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3.16-Route UAA PARS'!$D$103,'Table 3.16-Route UAA PARS'!$D$109)</f>
        <v>171.0204939263012</v>
      </c>
      <c r="D90" s="40">
        <f>'Table 3.14-Route UAA'!D90*SUM($D$103,$D$109)/SUM($D$103,$D$109,'Table 3.16-Route UAA PARS'!$D$103,'Table 3.16-Route UAA PARS'!$D$109)</f>
        <v>3308.4129260775235</v>
      </c>
      <c r="E90" s="184" t="s">
        <v>239</v>
      </c>
      <c r="F90" s="83">
        <f>IF(D90&lt;&gt;0,C90/D90,0)</f>
        <v>0.05169260843417882</v>
      </c>
      <c r="G90" s="285" t="s">
        <v>240</v>
      </c>
      <c r="H90" s="54">
        <v>1.37715102157782</v>
      </c>
      <c r="I90" s="72"/>
      <c r="J90" s="46">
        <f>C90*H90</f>
        <v>235.52104792134907</v>
      </c>
      <c r="K90" s="83">
        <f>F90*(H90)</f>
        <v>0.07118852851315159</v>
      </c>
      <c r="P90" s="140"/>
      <c r="Q90" s="140"/>
      <c r="R90" s="140"/>
      <c r="S90" s="140"/>
      <c r="T90" s="140"/>
    </row>
    <row r="91" spans="1:13" ht="12.75">
      <c r="A91" s="81" t="s">
        <v>781</v>
      </c>
      <c r="B91" s="56" t="s">
        <v>106</v>
      </c>
      <c r="C91" s="46">
        <f>'Table 3.14-Route UAA'!C91*SUM($D$103,$D$109)/SUM($D$103,$D$109,'Table 3.16-Route UAA PARS'!$D$103,'Table 3.16-Route UAA PARS'!$D$109)</f>
        <v>609.3275393634924</v>
      </c>
      <c r="D91" s="40">
        <f>'Table 3.14-Route UAA'!D91*SUM($D$103,$D$109)/SUM($D$103,$D$109,'Table 3.16-Route UAA PARS'!$D$103,'Table 3.16-Route UAA PARS'!$D$109)</f>
        <v>3308.4129260775235</v>
      </c>
      <c r="E91" s="184" t="s">
        <v>239</v>
      </c>
      <c r="F91" s="83">
        <f>IF(D91&lt;&gt;0,C91/D91,0)</f>
        <v>0.18417517794125995</v>
      </c>
      <c r="G91" s="285" t="s">
        <v>240</v>
      </c>
      <c r="H91" s="340">
        <v>1.7618940786298556</v>
      </c>
      <c r="I91" s="72"/>
      <c r="J91" s="46">
        <f>C91*H91</f>
        <v>1073.5705835506376</v>
      </c>
      <c r="K91" s="83">
        <f>F91*(H91)</f>
        <v>0.3244971554453059</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3.16-Route UAA PARS'!$D$111)</f>
        <v>64.43956127423833</v>
      </c>
      <c r="D93" s="40">
        <f>'Table 3.14-Route UAA'!D93*$D$111/SUM($D$111,'Table 3.16-Route UAA PARS'!$D$111)</f>
        <v>1312.3535444769814</v>
      </c>
      <c r="E93" s="184" t="s">
        <v>239</v>
      </c>
      <c r="F93" s="83">
        <f>IF(D93&lt;&gt;0,C93/D93,0)</f>
        <v>0.049102287676542025</v>
      </c>
      <c r="G93" s="285" t="s">
        <v>240</v>
      </c>
      <c r="H93" s="54">
        <v>1.37715102157782</v>
      </c>
      <c r="I93" s="72"/>
      <c r="J93" s="46">
        <f>C93*H93</f>
        <v>88.74300763884385</v>
      </c>
      <c r="K93" s="83">
        <f>F93*(H93)</f>
        <v>0.06762126563555786</v>
      </c>
    </row>
    <row r="94" spans="1:13" ht="12.75">
      <c r="A94" s="81" t="s">
        <v>781</v>
      </c>
      <c r="B94" s="56" t="s">
        <v>106</v>
      </c>
      <c r="C94" s="46">
        <f>'Table 3.14-Route UAA'!C94*$D$111/SUM($D$111,'Table 3.16-Route UAA PARS'!$D$111)</f>
        <v>147.700209358371</v>
      </c>
      <c r="D94" s="40">
        <f>'Table 3.14-Route UAA'!D94*$D$111/SUM($D$111,'Table 3.16-Route UAA PARS'!$D$111)</f>
        <v>1312.3535444769814</v>
      </c>
      <c r="E94" s="184" t="s">
        <v>239</v>
      </c>
      <c r="F94" s="83">
        <f>IF(D94&lt;&gt;0,C94/D94,0)</f>
        <v>0.11254605131366083</v>
      </c>
      <c r="G94" s="285" t="s">
        <v>240</v>
      </c>
      <c r="H94" s="340">
        <v>1.7618940786298556</v>
      </c>
      <c r="I94" s="79"/>
      <c r="J94" s="46">
        <f>C94*H94</f>
        <v>260.23212428090386</v>
      </c>
      <c r="K94" s="83">
        <f>F94*(H94)</f>
        <v>0.19829422138271088</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52099.32711782217</v>
      </c>
      <c r="E99" s="40"/>
      <c r="F99" s="56" t="s">
        <v>106</v>
      </c>
      <c r="G99" s="159"/>
      <c r="H99" s="56" t="s">
        <v>106</v>
      </c>
      <c r="I99" s="72"/>
      <c r="J99" s="46">
        <f>J11+SUM($J$90:$J$91)*D99/SUM($D$103,$D$109)</f>
        <v>5912.291792021152</v>
      </c>
      <c r="K99" s="83">
        <f>J99/D99</f>
        <v>0.11348115453872477</v>
      </c>
    </row>
    <row r="100" spans="1:11" ht="12.75">
      <c r="A100" s="338" t="s">
        <v>287</v>
      </c>
      <c r="B100" s="56" t="s">
        <v>106</v>
      </c>
      <c r="C100" s="46" t="s">
        <v>106</v>
      </c>
      <c r="D100" s="40">
        <f>D18</f>
        <v>7862.796510100412</v>
      </c>
      <c r="E100" s="40"/>
      <c r="F100" s="56" t="s">
        <v>106</v>
      </c>
      <c r="G100" s="159"/>
      <c r="H100" s="56" t="s">
        <v>106</v>
      </c>
      <c r="I100" s="72"/>
      <c r="J100" s="46">
        <f>J18+SUM($J$90:$J$91)*D100/SUM($D$103,$D$109)</f>
        <v>674.3187835857634</v>
      </c>
      <c r="K100" s="83">
        <f>J100/D100</f>
        <v>0.08576068104007845</v>
      </c>
    </row>
    <row r="101" spans="1:11" ht="12.75">
      <c r="A101" s="338" t="s">
        <v>282</v>
      </c>
      <c r="B101" s="56" t="s">
        <v>106</v>
      </c>
      <c r="C101" s="46" t="s">
        <v>106</v>
      </c>
      <c r="D101" s="40">
        <f>D25</f>
        <v>33807.229672405396</v>
      </c>
      <c r="E101" s="40"/>
      <c r="F101" s="56" t="s">
        <v>106</v>
      </c>
      <c r="G101" s="159"/>
      <c r="H101" s="56" t="s">
        <v>106</v>
      </c>
      <c r="I101" s="72"/>
      <c r="J101" s="46">
        <f>J25+SUM($J$90:$J$91)*D101/SUM($D$103,$D$109)</f>
        <v>4519.571066850505</v>
      </c>
      <c r="K101" s="83">
        <f>J101/D101</f>
        <v>0.13368652535701653</v>
      </c>
    </row>
    <row r="102" spans="1:11" ht="12.75">
      <c r="A102" s="338" t="s">
        <v>276</v>
      </c>
      <c r="B102" s="56" t="s">
        <v>106</v>
      </c>
      <c r="C102" s="46" t="s">
        <v>106</v>
      </c>
      <c r="D102" s="40">
        <f>D32</f>
        <v>42984.2265111203</v>
      </c>
      <c r="E102" s="40"/>
      <c r="F102" s="56" t="s">
        <v>106</v>
      </c>
      <c r="G102" s="159"/>
      <c r="H102" s="56" t="s">
        <v>106</v>
      </c>
      <c r="I102" s="72"/>
      <c r="J102" s="46">
        <f>J32+SUM($J$90:$J$91)*D102/SUM($D$103,$D$109)</f>
        <v>4196.843323318524</v>
      </c>
      <c r="K102" s="83">
        <f>J102/D102</f>
        <v>0.09763682317821337</v>
      </c>
    </row>
    <row r="103" spans="1:11" ht="12.75">
      <c r="A103" s="338" t="s">
        <v>281</v>
      </c>
      <c r="B103" s="56"/>
      <c r="C103" s="46"/>
      <c r="D103" s="40">
        <f>SUM(D99:D102)</f>
        <v>136753.5798114483</v>
      </c>
      <c r="E103" s="40"/>
      <c r="F103" s="56"/>
      <c r="G103" s="159"/>
      <c r="H103" s="56"/>
      <c r="I103" s="72"/>
      <c r="J103" s="46">
        <f>SUM(J99:J102)</f>
        <v>15303.024965775945</v>
      </c>
      <c r="K103" s="83">
        <f>J103/D103</f>
        <v>0.11190218922879601</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36148.45468640775</v>
      </c>
      <c r="E106" s="40"/>
      <c r="F106" s="56" t="s">
        <v>106</v>
      </c>
      <c r="G106" s="159"/>
      <c r="H106" s="56" t="s">
        <v>106</v>
      </c>
      <c r="I106" s="72"/>
      <c r="J106" s="46">
        <f>J52+SUM($J$90:$J$91)*D106/SUM($D$103,$D$109)</f>
        <v>2960.047436433144</v>
      </c>
      <c r="K106" s="83">
        <f>J106/D106</f>
        <v>0.08188586378344292</v>
      </c>
    </row>
    <row r="107" spans="1:11" ht="12.75">
      <c r="A107" s="338" t="s">
        <v>393</v>
      </c>
      <c r="B107" s="56" t="s">
        <v>106</v>
      </c>
      <c r="C107" s="46" t="s">
        <v>106</v>
      </c>
      <c r="D107" s="40">
        <f>D60</f>
        <v>28482.184243887477</v>
      </c>
      <c r="E107" s="40"/>
      <c r="F107" s="56" t="s">
        <v>106</v>
      </c>
      <c r="G107" s="159"/>
      <c r="H107" s="56" t="s">
        <v>106</v>
      </c>
      <c r="I107" s="72"/>
      <c r="J107" s="46">
        <f>J60+SUM($J$90:$J$91)*D107/SUM($D$103,$D$109)</f>
        <v>2016.648541140363</v>
      </c>
      <c r="K107" s="83">
        <f>J107/D107</f>
        <v>0.07080385843558165</v>
      </c>
    </row>
    <row r="108" spans="1:11" ht="12.75">
      <c r="A108" s="338" t="s">
        <v>388</v>
      </c>
      <c r="B108" s="56" t="s">
        <v>106</v>
      </c>
      <c r="C108" s="46" t="s">
        <v>106</v>
      </c>
      <c r="D108" s="40">
        <f>D67</f>
        <v>45650.782923658546</v>
      </c>
      <c r="E108" s="40"/>
      <c r="F108" s="56" t="s">
        <v>106</v>
      </c>
      <c r="G108" s="159"/>
      <c r="H108" s="56" t="s">
        <v>106</v>
      </c>
      <c r="I108" s="72"/>
      <c r="J108" s="46">
        <f>J67+SUM($J$90:$J$91)*D108/SUM($D$103,$D$109)</f>
        <v>4386.236776354595</v>
      </c>
      <c r="K108" s="83">
        <f>J108/D108</f>
        <v>0.09608239980658526</v>
      </c>
    </row>
    <row r="109" spans="1:11" ht="12.75">
      <c r="A109" s="338" t="s">
        <v>394</v>
      </c>
      <c r="B109" s="56"/>
      <c r="C109" s="46"/>
      <c r="D109" s="40">
        <f>SUM(D106:D108)</f>
        <v>110281.42185395377</v>
      </c>
      <c r="E109" s="40"/>
      <c r="F109" s="56"/>
      <c r="G109" s="159"/>
      <c r="H109" s="56"/>
      <c r="I109" s="72"/>
      <c r="J109" s="46">
        <f>SUM(J106:J108)</f>
        <v>9362.932753928102</v>
      </c>
      <c r="K109" s="83">
        <f>J109/D109</f>
        <v>0.08490036305777306</v>
      </c>
    </row>
    <row r="110" spans="1:11" ht="4.5" customHeight="1">
      <c r="A110" s="21"/>
      <c r="B110" s="56"/>
      <c r="C110" s="46"/>
      <c r="D110" s="40"/>
      <c r="E110" s="40"/>
      <c r="F110" s="56"/>
      <c r="G110" s="159"/>
      <c r="H110" s="56"/>
      <c r="I110" s="72"/>
      <c r="J110" s="46"/>
      <c r="K110" s="83"/>
    </row>
    <row r="111" spans="1:11" ht="12.75">
      <c r="A111" s="82" t="s">
        <v>286</v>
      </c>
      <c r="B111" s="56" t="s">
        <v>106</v>
      </c>
      <c r="C111" s="46" t="s">
        <v>106</v>
      </c>
      <c r="D111" s="40">
        <f>D82</f>
        <v>604223.165702297</v>
      </c>
      <c r="E111" s="40"/>
      <c r="F111" s="56"/>
      <c r="G111" s="159"/>
      <c r="H111" s="56"/>
      <c r="I111" s="72"/>
      <c r="J111" s="46">
        <f>SUM(J93:J94)+J82</f>
        <v>28631.936702190636</v>
      </c>
      <c r="K111" s="83">
        <f>J111/D111</f>
        <v>0.04738636041686905</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1.7053025658242404E-12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sheetPr codeName="Sheet37"/>
  <dimension ref="A1:X126"/>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57</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771.8734797230048</v>
      </c>
      <c r="C7" s="46">
        <v>29799.34214452001</v>
      </c>
      <c r="D7" s="135">
        <v>534618.3150619976</v>
      </c>
      <c r="E7" s="135"/>
      <c r="F7" s="83">
        <f>IF(D7&lt;&gt;0,C7/D7,0)</f>
        <v>0.055739471142256504</v>
      </c>
      <c r="G7" s="159"/>
      <c r="H7" s="54">
        <v>1.3882853153395636</v>
      </c>
      <c r="I7" s="72"/>
      <c r="J7" s="46">
        <f>C7*H7</f>
        <v>41369.98910601651</v>
      </c>
      <c r="K7" s="83">
        <f>F7*(H7)</f>
        <v>0.07738228927158808</v>
      </c>
    </row>
    <row r="8" spans="1:11" ht="12.75" customHeight="1">
      <c r="A8" s="338" t="s">
        <v>136</v>
      </c>
      <c r="B8" s="135">
        <v>290.1294082249213</v>
      </c>
      <c r="C8" s="46">
        <v>6367.411886058873</v>
      </c>
      <c r="D8" s="135">
        <v>206546.1416083645</v>
      </c>
      <c r="E8" s="135"/>
      <c r="F8" s="83">
        <f>IF(D8&lt;&gt;0,C8/D8,0)</f>
        <v>0.030828035984967594</v>
      </c>
      <c r="G8" s="159"/>
      <c r="H8" s="54">
        <v>1.280106436830296</v>
      </c>
      <c r="I8" s="72"/>
      <c r="J8" s="46">
        <f>C8*H8</f>
        <v>8150.964941293699</v>
      </c>
      <c r="K8" s="83">
        <f>F8*(H8)</f>
        <v>0.03946316729919301</v>
      </c>
    </row>
    <row r="9" spans="1:11" ht="12.75">
      <c r="A9" s="337" t="s">
        <v>137</v>
      </c>
      <c r="B9" s="135">
        <v>205.94550880289563</v>
      </c>
      <c r="C9" s="46">
        <v>5767.240576780915</v>
      </c>
      <c r="D9" s="135">
        <v>144830.04157236614</v>
      </c>
      <c r="E9" s="135"/>
      <c r="F9" s="83">
        <f>IF(D9&lt;&gt;0,C9/D9,0)</f>
        <v>0.03982074792058415</v>
      </c>
      <c r="G9" s="159"/>
      <c r="H9" s="54">
        <v>1.5205589342948984</v>
      </c>
      <c r="I9" s="48"/>
      <c r="J9" s="46">
        <f>C9*H9</f>
        <v>8769.429185252284</v>
      </c>
      <c r="K9" s="83">
        <f>F9*(H9)</f>
        <v>0.060549794020949226</v>
      </c>
    </row>
    <row r="10" spans="1:11" ht="12.75">
      <c r="A10" s="337" t="s">
        <v>107</v>
      </c>
      <c r="B10" s="135">
        <v>5.39657257567483</v>
      </c>
      <c r="C10" s="46">
        <v>206.43239245100145</v>
      </c>
      <c r="D10" s="135">
        <v>3723.162297338009</v>
      </c>
      <c r="E10" s="135"/>
      <c r="F10" s="83">
        <f>IF(D10&lt;&gt;0,C10/D10,0)</f>
        <v>0.05544544555540776</v>
      </c>
      <c r="G10" s="159"/>
      <c r="H10" s="54">
        <v>1.280106436830296</v>
      </c>
      <c r="I10" s="72"/>
      <c r="J10" s="46">
        <f>C10*H10</f>
        <v>264.25543434680475</v>
      </c>
      <c r="K10" s="83">
        <f>F10*(H10)</f>
        <v>0.07097607174840119</v>
      </c>
    </row>
    <row r="11" spans="1:12" ht="12.75">
      <c r="A11" s="337" t="s">
        <v>277</v>
      </c>
      <c r="B11" s="135">
        <f>SUM(B7:B10)</f>
        <v>1273.3449693264965</v>
      </c>
      <c r="C11" s="46">
        <f>SUM(C7:C10)</f>
        <v>42140.42699981081</v>
      </c>
      <c r="D11" s="135">
        <f>SUM(D7:D10)</f>
        <v>889717.6605400663</v>
      </c>
      <c r="E11" s="135"/>
      <c r="F11" s="83">
        <f>IF(D11&lt;&gt;0,C11/D11,0)</f>
        <v>0.047363819859697065</v>
      </c>
      <c r="G11" s="159"/>
      <c r="H11" s="54"/>
      <c r="I11" s="72"/>
      <c r="J11" s="46">
        <f>SUM(J7:J10)</f>
        <v>58554.638666909304</v>
      </c>
      <c r="K11" s="83">
        <f>SUMPRODUCT(K7:K10,D7:D10)/D11</f>
        <v>0.06581260692450022</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69.10104978984221</v>
      </c>
      <c r="C14" s="46">
        <v>2659.0766830768825</v>
      </c>
      <c r="D14" s="135">
        <v>46964.15037156239</v>
      </c>
      <c r="E14" s="135"/>
      <c r="F14" s="83">
        <f>IF(D14&lt;&gt;0,C14/D14,0)</f>
        <v>0.05661928645656922</v>
      </c>
      <c r="G14" s="159"/>
      <c r="H14" s="54">
        <v>1.3882853153395636</v>
      </c>
      <c r="I14" s="72"/>
      <c r="J14" s="46">
        <f>C14*H14</f>
        <v>3691.5571114774707</v>
      </c>
      <c r="K14" s="83">
        <f>F14*(H14)</f>
        <v>0.07860372395265927</v>
      </c>
      <c r="L14" s="84"/>
    </row>
    <row r="15" spans="1:12" ht="12.75">
      <c r="A15" s="338" t="s">
        <v>136</v>
      </c>
      <c r="B15" s="135">
        <v>38.23734124875152</v>
      </c>
      <c r="C15" s="46">
        <v>835.1188058165112</v>
      </c>
      <c r="D15" s="135">
        <v>26380.41558627548</v>
      </c>
      <c r="E15" s="135"/>
      <c r="F15" s="83">
        <f>IF(D15&lt;&gt;0,C15/D15,0)</f>
        <v>0.0316567721643849</v>
      </c>
      <c r="G15" s="159"/>
      <c r="H15" s="54">
        <v>1.280106436830296</v>
      </c>
      <c r="I15" s="72"/>
      <c r="J15" s="46">
        <f>C15*H15</f>
        <v>1069.040958843746</v>
      </c>
      <c r="K15" s="83">
        <f>F15*(H15)</f>
        <v>0.04052403781689925</v>
      </c>
      <c r="L15" s="84"/>
    </row>
    <row r="16" spans="1:12" ht="12.75">
      <c r="A16" s="337" t="s">
        <v>137</v>
      </c>
      <c r="B16" s="135">
        <v>12.796159033352959</v>
      </c>
      <c r="C16" s="46">
        <v>357.29998886952944</v>
      </c>
      <c r="D16" s="135">
        <v>8828.22869435113</v>
      </c>
      <c r="E16" s="135"/>
      <c r="F16" s="83">
        <f>IF(D16&lt;&gt;0,C16/D16,0)</f>
        <v>0.04047244370755291</v>
      </c>
      <c r="G16" s="159"/>
      <c r="H16" s="54">
        <v>1.5205589342948984</v>
      </c>
      <c r="I16" s="72"/>
      <c r="J16" s="46">
        <f>C16*H16</f>
        <v>543.2956902990308</v>
      </c>
      <c r="K16" s="83">
        <f>F16*(H16)</f>
        <v>0.06154073587226692</v>
      </c>
      <c r="L16" s="84"/>
    </row>
    <row r="17" spans="1:12" ht="12.75" customHeight="1">
      <c r="A17" s="337" t="s">
        <v>107</v>
      </c>
      <c r="B17" s="135">
        <v>0.7134532568560101</v>
      </c>
      <c r="C17" s="46">
        <v>27.291370707884525</v>
      </c>
      <c r="D17" s="135">
        <v>492.22024342128714</v>
      </c>
      <c r="E17" s="135"/>
      <c r="F17" s="83">
        <f>IF(D17&lt;&gt;0,C17/D17,0)</f>
        <v>0.05544544555540775</v>
      </c>
      <c r="G17" s="159"/>
      <c r="H17" s="54">
        <v>1.280106436830296</v>
      </c>
      <c r="I17" s="72"/>
      <c r="J17" s="46">
        <f>C17*H17</f>
        <v>34.93585931308477</v>
      </c>
      <c r="K17" s="83">
        <f>F17*(H17)</f>
        <v>0.07097607174840118</v>
      </c>
      <c r="L17" s="84"/>
    </row>
    <row r="18" spans="1:12" ht="12.75">
      <c r="A18" s="337" t="s">
        <v>277</v>
      </c>
      <c r="B18" s="135">
        <f>SUM(B14:B17)</f>
        <v>120.8480033288027</v>
      </c>
      <c r="C18" s="46">
        <f>SUM(C14:C17)</f>
        <v>3878.786848470808</v>
      </c>
      <c r="D18" s="135">
        <f>SUM(D14:D17)</f>
        <v>82665.01489561028</v>
      </c>
      <c r="E18" s="135"/>
      <c r="F18" s="83">
        <f>IF(D18&lt;&gt;0,C18/D18,0)</f>
        <v>0.04692174619902937</v>
      </c>
      <c r="G18" s="159"/>
      <c r="H18" s="54"/>
      <c r="I18" s="72"/>
      <c r="J18" s="46">
        <f>SUM(J14:J17)</f>
        <v>5338.829619933333</v>
      </c>
      <c r="K18" s="83">
        <f>SUMPRODUCT(K14:K17,D14:D17)/D18</f>
        <v>0.06458390682775814</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254.63509196546232</v>
      </c>
      <c r="C21" s="46">
        <v>9798.60997477973</v>
      </c>
      <c r="D21" s="135">
        <v>170974.51468477407</v>
      </c>
      <c r="E21" s="135"/>
      <c r="F21" s="83">
        <f>IF(D21&lt;&gt;0,C21/D21,0)</f>
        <v>0.057310354077304684</v>
      </c>
      <c r="G21" s="159"/>
      <c r="H21" s="54">
        <v>1.3882853153395636</v>
      </c>
      <c r="I21" s="72"/>
      <c r="J21" s="46">
        <f>C21*H21</f>
        <v>13603.266338726471</v>
      </c>
      <c r="K21" s="83">
        <f>F21*(H21)</f>
        <v>0.07956312298243298</v>
      </c>
      <c r="L21" s="84"/>
    </row>
    <row r="22" spans="1:12" ht="12.75" customHeight="1">
      <c r="A22" s="338" t="s">
        <v>136</v>
      </c>
      <c r="B22" s="135">
        <v>122.95875559927627</v>
      </c>
      <c r="C22" s="46">
        <v>2685.4683350690507</v>
      </c>
      <c r="D22" s="135">
        <v>84830.76926239204</v>
      </c>
      <c r="E22" s="135"/>
      <c r="F22" s="83">
        <f>IF(D22&lt;&gt;0,C22/D22,0)</f>
        <v>0.0316567721643849</v>
      </c>
      <c r="G22" s="159"/>
      <c r="H22" s="54">
        <v>1.280106436830296</v>
      </c>
      <c r="I22" s="72"/>
      <c r="J22" s="46">
        <f>C22*H22</f>
        <v>3437.6853016258297</v>
      </c>
      <c r="K22" s="83">
        <f>F22*(H22)</f>
        <v>0.04052403781689925</v>
      </c>
      <c r="L22" s="84"/>
    </row>
    <row r="23" spans="1:12" ht="12.75" customHeight="1">
      <c r="A23" s="337" t="s">
        <v>137</v>
      </c>
      <c r="B23" s="135">
        <v>52.29022902548784</v>
      </c>
      <c r="C23" s="46">
        <v>1460.0708071925542</v>
      </c>
      <c r="D23" s="135">
        <v>36075.67701478025</v>
      </c>
      <c r="E23" s="135"/>
      <c r="F23" s="83">
        <f>IF(D23&lt;&gt;0,C23/D23,0)</f>
        <v>0.04047244370755291</v>
      </c>
      <c r="G23" s="159"/>
      <c r="H23" s="54">
        <v>1.5205589342948984</v>
      </c>
      <c r="I23" s="72"/>
      <c r="J23" s="46">
        <f>C23*H23</f>
        <v>2220.1237105798023</v>
      </c>
      <c r="K23" s="83">
        <f>F23*(H23)</f>
        <v>0.06154073587226692</v>
      </c>
      <c r="L23" s="84"/>
    </row>
    <row r="24" spans="1:12" ht="12.75" customHeight="1">
      <c r="A24" s="337" t="s">
        <v>107</v>
      </c>
      <c r="B24" s="135">
        <v>1.8936538024323268</v>
      </c>
      <c r="C24" s="46">
        <v>72.43699207754257</v>
      </c>
      <c r="D24" s="135">
        <v>1306.4552255271324</v>
      </c>
      <c r="E24" s="135"/>
      <c r="F24" s="83">
        <f>IF(D24&lt;&gt;0,C24/D24,0)</f>
        <v>0.05544544555540775</v>
      </c>
      <c r="G24" s="159"/>
      <c r="H24" s="54">
        <v>1.280106436830296</v>
      </c>
      <c r="I24" s="72"/>
      <c r="J24" s="46">
        <f>C24*H24</f>
        <v>92.72705982308739</v>
      </c>
      <c r="K24" s="83">
        <f>F24*(H24)</f>
        <v>0.07097607174840118</v>
      </c>
      <c r="L24" s="84"/>
    </row>
    <row r="25" spans="1:12" ht="12.75" customHeight="1">
      <c r="A25" s="337" t="s">
        <v>277</v>
      </c>
      <c r="B25" s="135">
        <f>SUM(B21:B24)</f>
        <v>431.7777303926588</v>
      </c>
      <c r="C25" s="46">
        <f>SUM(C21:C24)</f>
        <v>14016.586109118878</v>
      </c>
      <c r="D25" s="135">
        <f>SUM(D21:D24)</f>
        <v>293187.41618747346</v>
      </c>
      <c r="E25" s="135"/>
      <c r="F25" s="83">
        <f>IF(D25&lt;&gt;0,C25/D25,0)</f>
        <v>0.047807597922812015</v>
      </c>
      <c r="G25" s="159"/>
      <c r="H25" s="54"/>
      <c r="I25" s="72"/>
      <c r="J25" s="46">
        <f>SUM(J21:J24)</f>
        <v>19353.80241075519</v>
      </c>
      <c r="K25" s="83">
        <f>SUMPRODUCT(K21:K24,D21:D24)/D25</f>
        <v>0.0660117090372656</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0</v>
      </c>
      <c r="C28" s="46">
        <v>0</v>
      </c>
      <c r="D28" s="135">
        <v>0</v>
      </c>
      <c r="E28" s="135"/>
      <c r="F28" s="83">
        <f>IF(D28&lt;&gt;0,C28/D28,0)</f>
        <v>0</v>
      </c>
      <c r="G28" s="159"/>
      <c r="H28" s="54">
        <v>1.3882853153395636</v>
      </c>
      <c r="I28" s="72"/>
      <c r="J28" s="46">
        <f>C28*H28</f>
        <v>0</v>
      </c>
      <c r="K28" s="83">
        <f>F28*(H28)</f>
        <v>0</v>
      </c>
      <c r="L28" s="84"/>
    </row>
    <row r="29" spans="1:12" ht="12.75" customHeight="1">
      <c r="A29" s="338" t="s">
        <v>136</v>
      </c>
      <c r="B29" s="135">
        <v>0</v>
      </c>
      <c r="C29" s="46">
        <v>0</v>
      </c>
      <c r="D29" s="135">
        <v>0</v>
      </c>
      <c r="E29" s="135"/>
      <c r="F29" s="83">
        <f>IF(D29&lt;&gt;0,C29/D29,0)</f>
        <v>0</v>
      </c>
      <c r="G29" s="159"/>
      <c r="H29" s="54">
        <v>1.280106436830296</v>
      </c>
      <c r="I29" s="72"/>
      <c r="J29" s="46">
        <f>C29*H29</f>
        <v>0</v>
      </c>
      <c r="K29" s="83">
        <f>F29*(H29)</f>
        <v>0</v>
      </c>
      <c r="L29" s="84"/>
    </row>
    <row r="30" spans="1:12" ht="12.75" customHeight="1">
      <c r="A30" s="337" t="s">
        <v>137</v>
      </c>
      <c r="B30" s="135">
        <v>0</v>
      </c>
      <c r="C30" s="46">
        <v>0</v>
      </c>
      <c r="D30" s="135">
        <v>0</v>
      </c>
      <c r="E30" s="135"/>
      <c r="F30" s="83">
        <f>IF(D30&lt;&gt;0,C30/D30,0)</f>
        <v>0</v>
      </c>
      <c r="G30" s="159"/>
      <c r="H30" s="54">
        <v>1.5205589342948984</v>
      </c>
      <c r="I30" s="72"/>
      <c r="J30" s="46">
        <f>C30*H30</f>
        <v>0</v>
      </c>
      <c r="K30" s="83">
        <f>F30*(H30)</f>
        <v>0</v>
      </c>
      <c r="L30" s="84"/>
    </row>
    <row r="31" spans="1:12" ht="12.75" customHeight="1">
      <c r="A31" s="337" t="s">
        <v>107</v>
      </c>
      <c r="B31" s="135">
        <v>0</v>
      </c>
      <c r="C31" s="46">
        <v>0</v>
      </c>
      <c r="D31" s="135">
        <v>0</v>
      </c>
      <c r="E31" s="135"/>
      <c r="F31" s="83">
        <f>IF(D31&lt;&gt;0,C31/D31,0)</f>
        <v>0</v>
      </c>
      <c r="G31" s="159"/>
      <c r="H31" s="54">
        <v>1.280106436830296</v>
      </c>
      <c r="I31" s="72"/>
      <c r="J31" s="46">
        <f>C31*H31</f>
        <v>0</v>
      </c>
      <c r="K31" s="83">
        <f>F31*(H31)</f>
        <v>0</v>
      </c>
      <c r="L31" s="84"/>
    </row>
    <row r="32" spans="1:13" ht="12.75" customHeight="1">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1095.6096214783095</v>
      </c>
      <c r="C35" s="46">
        <f t="shared" si="0"/>
        <v>42257.02880237662</v>
      </c>
      <c r="D35" s="135">
        <f t="shared" si="0"/>
        <v>752556.9801183341</v>
      </c>
      <c r="E35" s="135"/>
      <c r="F35" s="83">
        <f>IF(D35&lt;&gt;0,C35/D35,0)</f>
        <v>0.05615126816806883</v>
      </c>
      <c r="G35" s="159"/>
      <c r="H35" s="54">
        <v>1.3882853153395636</v>
      </c>
      <c r="I35" s="72"/>
      <c r="J35" s="46">
        <f>SUM(J7,J14,J21,J28)</f>
        <v>58664.81255622045</v>
      </c>
      <c r="K35" s="83">
        <f>F35*(H35)</f>
        <v>0.07795398103542382</v>
      </c>
      <c r="L35" s="84"/>
    </row>
    <row r="36" spans="1:12" ht="12.75">
      <c r="A36" s="338" t="s">
        <v>136</v>
      </c>
      <c r="B36" s="135">
        <f t="shared" si="0"/>
        <v>451.3255050729491</v>
      </c>
      <c r="C36" s="46">
        <f t="shared" si="0"/>
        <v>9887.999026944435</v>
      </c>
      <c r="D36" s="135">
        <f t="shared" si="0"/>
        <v>317757.326457032</v>
      </c>
      <c r="E36" s="135"/>
      <c r="F36" s="83">
        <f>IF(D36&lt;&gt;0,C36/D36,0)</f>
        <v>0.031118083529952902</v>
      </c>
      <c r="G36" s="159"/>
      <c r="H36" s="54">
        <v>1.280106436830296</v>
      </c>
      <c r="I36" s="72"/>
      <c r="J36" s="46">
        <f>SUM(J8,J15,J22,J29)</f>
        <v>12657.691201763275</v>
      </c>
      <c r="K36" s="83">
        <f>F36*(H36)</f>
        <v>0.039834459028515526</v>
      </c>
      <c r="L36" s="84"/>
    </row>
    <row r="37" spans="1:12" ht="12.75">
      <c r="A37" s="337" t="s">
        <v>137</v>
      </c>
      <c r="B37" s="135">
        <f t="shared" si="0"/>
        <v>271.0318968617364</v>
      </c>
      <c r="C37" s="46">
        <f t="shared" si="0"/>
        <v>7584.611372842999</v>
      </c>
      <c r="D37" s="135">
        <f t="shared" si="0"/>
        <v>189733.94728149753</v>
      </c>
      <c r="E37" s="135"/>
      <c r="F37" s="83">
        <f>IF(D37&lt;&gt;0,C37/D37,0)</f>
        <v>0.039974983293791594</v>
      </c>
      <c r="G37" s="159"/>
      <c r="H37" s="54">
        <v>1.5205589342948984</v>
      </c>
      <c r="I37" s="72"/>
      <c r="J37" s="46">
        <f>SUM(J9,J16,J23,J30)</f>
        <v>11532.848586131116</v>
      </c>
      <c r="K37" s="83">
        <f>F37*(H37)</f>
        <v>0.06078431799566411</v>
      </c>
      <c r="L37" s="84"/>
    </row>
    <row r="38" spans="1:12" ht="12.75">
      <c r="A38" s="337" t="s">
        <v>107</v>
      </c>
      <c r="B38" s="135">
        <f t="shared" si="0"/>
        <v>8.003679634963168</v>
      </c>
      <c r="C38" s="46">
        <f t="shared" si="0"/>
        <v>306.16075523642854</v>
      </c>
      <c r="D38" s="135">
        <f t="shared" si="0"/>
        <v>5521.837766286428</v>
      </c>
      <c r="E38" s="135"/>
      <c r="F38" s="83">
        <f>IF(D38&lt;&gt;0,C38/D38,0)</f>
        <v>0.055445445555407764</v>
      </c>
      <c r="G38" s="159"/>
      <c r="H38" s="54">
        <v>1.280106436830296</v>
      </c>
      <c r="I38" s="72"/>
      <c r="J38" s="46">
        <f>SUM(J10,J17,J24,J31)</f>
        <v>391.91835348297695</v>
      </c>
      <c r="K38" s="83">
        <f>F38*(H38)</f>
        <v>0.0709760717484012</v>
      </c>
      <c r="L38" s="84"/>
    </row>
    <row r="39" spans="1:12" ht="12.75">
      <c r="A39" s="338" t="s">
        <v>102</v>
      </c>
      <c r="B39" s="135">
        <f>SUM(B35:B38)</f>
        <v>1825.9707030479583</v>
      </c>
      <c r="C39" s="46">
        <f>SUM(C35:C38)</f>
        <v>60035.799957400486</v>
      </c>
      <c r="D39" s="135">
        <f>SUM(D35:D38)</f>
        <v>1265570.09162315</v>
      </c>
      <c r="E39" s="135"/>
      <c r="F39" s="83"/>
      <c r="G39" s="159"/>
      <c r="H39" s="54"/>
      <c r="I39" s="72"/>
      <c r="J39" s="46">
        <f>SUM(J35:J38)</f>
        <v>83247.27069759782</v>
      </c>
      <c r="K39" s="83">
        <f>SUMPRODUCT(K35:K38,D35:D38)/D39</f>
        <v>0.06577847505137346</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
      <c r="A42" s="158" t="s">
        <v>58</v>
      </c>
      <c r="L42" s="84"/>
    </row>
    <row r="43" spans="1:12" ht="1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45.960528291545</v>
      </c>
      <c r="C48" s="46">
        <v>2834.960714647902</v>
      </c>
      <c r="D48" s="135">
        <v>42366.147662501025</v>
      </c>
      <c r="E48" s="135"/>
      <c r="F48" s="83">
        <f>IF(D48&lt;&gt;0,C48/D48,0)</f>
        <v>0.0669157067862739</v>
      </c>
      <c r="G48" s="159"/>
      <c r="H48" s="54">
        <v>1.3882853153395636</v>
      </c>
      <c r="I48" s="72"/>
      <c r="J48" s="46">
        <f>C48*H48</f>
        <v>3935.734329710237</v>
      </c>
      <c r="K48" s="83">
        <f>F48*(H48)</f>
        <v>0.09289809309695203</v>
      </c>
      <c r="L48" s="84"/>
    </row>
    <row r="49" spans="1:12" ht="12.75">
      <c r="A49" s="338" t="s">
        <v>136</v>
      </c>
      <c r="B49" s="135">
        <v>9.46094987474039</v>
      </c>
      <c r="C49" s="46">
        <v>317.44124855386247</v>
      </c>
      <c r="D49" s="135">
        <v>20515.864167387925</v>
      </c>
      <c r="E49" s="135"/>
      <c r="F49" s="83">
        <f>IF(D49&lt;&gt;0,C49/D49,0)</f>
        <v>0.015472965016919344</v>
      </c>
      <c r="G49" s="159"/>
      <c r="H49" s="54">
        <v>1.280106436830296</v>
      </c>
      <c r="I49" s="72"/>
      <c r="J49" s="46">
        <f>C49*H49</f>
        <v>406.3585855892452</v>
      </c>
      <c r="K49" s="83">
        <f>F49*(H49)</f>
        <v>0.01980704211500844</v>
      </c>
      <c r="L49" s="84"/>
    </row>
    <row r="50" spans="1:12" ht="12.75">
      <c r="A50" s="337" t="s">
        <v>137</v>
      </c>
      <c r="B50" s="53">
        <v>3.275067676464927</v>
      </c>
      <c r="C50" s="46">
        <v>128.708045557262</v>
      </c>
      <c r="D50" s="53">
        <v>7101.913072042457</v>
      </c>
      <c r="E50" s="135"/>
      <c r="F50" s="83">
        <f>IF(D50&lt;&gt;0,C50/D50,0)</f>
        <v>0.01812301055386567</v>
      </c>
      <c r="G50" s="159"/>
      <c r="H50" s="54">
        <v>1.5205589342948984</v>
      </c>
      <c r="I50" s="72"/>
      <c r="J50" s="46">
        <f>C50*H50</f>
        <v>195.70816858772955</v>
      </c>
      <c r="K50" s="83">
        <f>F50*(H50)</f>
        <v>0.02755710561400118</v>
      </c>
      <c r="L50" s="84"/>
    </row>
    <row r="51" spans="1:12" ht="12.75">
      <c r="A51" s="337" t="s">
        <v>107</v>
      </c>
      <c r="B51" s="53">
        <v>0.19833747243741692</v>
      </c>
      <c r="C51" s="46">
        <v>7.5869041644122905</v>
      </c>
      <c r="D51" s="53">
        <v>430.09049806859355</v>
      </c>
      <c r="E51" s="135"/>
      <c r="F51" s="83">
        <f>IF(D51&lt;&gt;0,C51/D51,0)</f>
        <v>0.0176402505948929</v>
      </c>
      <c r="G51" s="159"/>
      <c r="H51" s="54">
        <v>1.280106436830296</v>
      </c>
      <c r="I51" s="72"/>
      <c r="J51" s="46">
        <f>C51*H51</f>
        <v>9.712044856478752</v>
      </c>
      <c r="K51" s="83">
        <f>F51*(H51)</f>
        <v>0.022581398333821855</v>
      </c>
      <c r="L51" s="84"/>
    </row>
    <row r="52" spans="1:12" ht="12.75">
      <c r="A52" s="337" t="s">
        <v>277</v>
      </c>
      <c r="B52" s="53">
        <f>SUM(B48:B51)</f>
        <v>58.89488331518774</v>
      </c>
      <c r="C52" s="46">
        <f>SUM(C48:C51)</f>
        <v>3288.6969129234385</v>
      </c>
      <c r="D52" s="53">
        <f>SUM(D48:D51)</f>
        <v>70414.01539999999</v>
      </c>
      <c r="E52" s="135"/>
      <c r="F52" s="41"/>
      <c r="G52" s="159"/>
      <c r="H52" s="54"/>
      <c r="I52" s="72"/>
      <c r="J52" s="46">
        <f>SUM(J48:J51)</f>
        <v>4547.51312874369</v>
      </c>
      <c r="K52" s="83">
        <f>SUMPRODUCT(K48:K51,D48:D51)/D52</f>
        <v>0.06458249970422351</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15.255661428557275</v>
      </c>
      <c r="C56" s="46">
        <v>941.0074782339998</v>
      </c>
      <c r="D56" s="135">
        <v>14062.579974527356</v>
      </c>
      <c r="E56" s="135"/>
      <c r="F56" s="83">
        <f>IF(D56&lt;&gt;0,C56/D56,0)</f>
        <v>0.06691570678627391</v>
      </c>
      <c r="G56" s="159"/>
      <c r="H56" s="54">
        <v>1.3882853153395636</v>
      </c>
      <c r="I56" s="72"/>
      <c r="J56" s="46">
        <f>C56*H56</f>
        <v>1306.386863656976</v>
      </c>
      <c r="K56" s="83">
        <f>F56*(H56)</f>
        <v>0.09289809309695206</v>
      </c>
    </row>
    <row r="57" spans="1:11" ht="12.75">
      <c r="A57" s="338" t="s">
        <v>136</v>
      </c>
      <c r="B57" s="135">
        <v>3.0358431440362788</v>
      </c>
      <c r="C57" s="46">
        <v>101.86100241684285</v>
      </c>
      <c r="D57" s="135">
        <v>6583.159873072812</v>
      </c>
      <c r="E57" s="135"/>
      <c r="F57" s="83">
        <f>IF(D57&lt;&gt;0,C57/D57,0)</f>
        <v>0.015472965016919351</v>
      </c>
      <c r="G57" s="159"/>
      <c r="H57" s="54">
        <v>1.280106436830296</v>
      </c>
      <c r="I57" s="72"/>
      <c r="J57" s="46">
        <f>C57*H57</f>
        <v>130.39292485578687</v>
      </c>
      <c r="K57" s="83">
        <f>F57*(H57)</f>
        <v>0.01980704211500845</v>
      </c>
    </row>
    <row r="58" spans="1:11" ht="12.75">
      <c r="A58" s="337" t="s">
        <v>137</v>
      </c>
      <c r="B58" s="53">
        <v>0.9439126210958841</v>
      </c>
      <c r="C58" s="46">
        <v>37.09515669282832</v>
      </c>
      <c r="D58" s="53">
        <v>2046.8540026820135</v>
      </c>
      <c r="E58" s="135"/>
      <c r="F58" s="83">
        <f>IF(D58&lt;&gt;0,C58/D58,0)</f>
        <v>0.018123010553865667</v>
      </c>
      <c r="G58" s="159"/>
      <c r="H58" s="54">
        <v>1.5205589342948984</v>
      </c>
      <c r="I58" s="72"/>
      <c r="J58" s="46">
        <f>C58*H58</f>
        <v>56.4053719283493</v>
      </c>
      <c r="K58" s="83">
        <f>F58*(H58)</f>
        <v>0.027557105614001175</v>
      </c>
    </row>
    <row r="59" spans="1:11" ht="12.75">
      <c r="A59" s="337" t="s">
        <v>107</v>
      </c>
      <c r="B59" s="53">
        <v>0.049092234140367716</v>
      </c>
      <c r="C59" s="46">
        <v>1.877900686454416</v>
      </c>
      <c r="D59" s="53">
        <v>106.45544270204952</v>
      </c>
      <c r="E59" s="135"/>
      <c r="F59" s="83">
        <f>IF(D59&lt;&gt;0,C59/D59,0)</f>
        <v>0.0176402505948929</v>
      </c>
      <c r="G59" s="159"/>
      <c r="H59" s="54">
        <v>1.280106436830296</v>
      </c>
      <c r="I59" s="72"/>
      <c r="J59" s="46">
        <f>C59*H59</f>
        <v>2.4039127564583294</v>
      </c>
      <c r="K59" s="83">
        <f>F59*(H59)</f>
        <v>0.022581398333821855</v>
      </c>
    </row>
    <row r="60" spans="1:11" ht="12.75">
      <c r="A60" s="337" t="s">
        <v>277</v>
      </c>
      <c r="B60" s="53">
        <f>SUM(B56:B59)</f>
        <v>19.284509427829803</v>
      </c>
      <c r="C60" s="46">
        <f>SUM(C56:C59)</f>
        <v>1081.8415380301255</v>
      </c>
      <c r="D60" s="53">
        <f>SUM(D56:D59)</f>
        <v>22799.04929298423</v>
      </c>
      <c r="E60" s="135"/>
      <c r="F60" s="41"/>
      <c r="G60" s="159"/>
      <c r="H60" s="54"/>
      <c r="I60" s="72"/>
      <c r="J60" s="46">
        <f>SUM(J56:J59)</f>
        <v>1495.5890731975705</v>
      </c>
      <c r="K60" s="83">
        <f>SUMPRODUCT(K56:K59,D56:D59)/D60</f>
        <v>0.06559874729766896</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6.99320256114753</v>
      </c>
      <c r="C63" s="46">
        <v>431.35828214741116</v>
      </c>
      <c r="D63" s="135">
        <v>6446.293446845779</v>
      </c>
      <c r="E63" s="11"/>
      <c r="F63" s="83">
        <f>IF(D63&lt;&gt;0,C63/D63,0)</f>
        <v>0.06691570678627391</v>
      </c>
      <c r="G63" s="11"/>
      <c r="H63" s="54">
        <v>1.3882853153395636</v>
      </c>
      <c r="I63" s="11"/>
      <c r="J63" s="46">
        <f>C63*H63</f>
        <v>598.8483687553511</v>
      </c>
      <c r="K63" s="83">
        <f>F63*(H63)</f>
        <v>0.09289809309695206</v>
      </c>
    </row>
    <row r="64" spans="1:11" ht="12.75">
      <c r="A64" s="338" t="s">
        <v>136</v>
      </c>
      <c r="B64" s="135">
        <v>1.7737033629086822</v>
      </c>
      <c r="C64" s="46">
        <v>59.51269349700121</v>
      </c>
      <c r="D64" s="135">
        <v>3846.237190604734</v>
      </c>
      <c r="E64" s="11"/>
      <c r="F64" s="83">
        <f>IF(D64&lt;&gt;0,C64/D64,0)</f>
        <v>0.015472965016919348</v>
      </c>
      <c r="G64" s="11"/>
      <c r="H64" s="54">
        <v>1.280106436830296</v>
      </c>
      <c r="I64" s="11"/>
      <c r="J64" s="46">
        <f>C64*H64</f>
        <v>76.18258201861974</v>
      </c>
      <c r="K64" s="83">
        <f>F64*(H64)</f>
        <v>0.019807042115008444</v>
      </c>
    </row>
    <row r="65" spans="1:11" ht="12.75">
      <c r="A65" s="337" t="s">
        <v>137</v>
      </c>
      <c r="B65" s="53">
        <v>0.9683366292640964</v>
      </c>
      <c r="C65" s="46">
        <v>38.05500444760766</v>
      </c>
      <c r="D65" s="53">
        <v>2099.8169335331786</v>
      </c>
      <c r="E65" s="11"/>
      <c r="F65" s="83">
        <f>IF(D65&lt;&gt;0,C65/D65,0)</f>
        <v>0.018123010553865677</v>
      </c>
      <c r="G65" s="11"/>
      <c r="H65" s="54">
        <v>1.5205589342948984</v>
      </c>
      <c r="I65" s="11"/>
      <c r="J65" s="46">
        <f>C65*H65</f>
        <v>57.86487700744192</v>
      </c>
      <c r="K65" s="83">
        <f>F65*(H65)</f>
        <v>0.027557105614001192</v>
      </c>
    </row>
    <row r="66" spans="1:11" ht="12.75">
      <c r="A66" s="337" t="s">
        <v>107</v>
      </c>
      <c r="B66" s="53">
        <v>0.08158630607447324</v>
      </c>
      <c r="C66" s="46">
        <v>3.120880173113788</v>
      </c>
      <c r="D66" s="53">
        <v>176.91813142480675</v>
      </c>
      <c r="E66" s="11"/>
      <c r="F66" s="83">
        <f>IF(D66&lt;&gt;0,C66/D66,0)</f>
        <v>0.017640250594892902</v>
      </c>
      <c r="G66" s="11"/>
      <c r="H66" s="54">
        <v>1.280106436830296</v>
      </c>
      <c r="I66" s="11"/>
      <c r="J66" s="46">
        <f>C66*H66</f>
        <v>3.995058798179008</v>
      </c>
      <c r="K66" s="83">
        <f>F66*(H66)</f>
        <v>0.02258139833382186</v>
      </c>
    </row>
    <row r="67" spans="1:11" ht="12.75">
      <c r="A67" s="337" t="s">
        <v>277</v>
      </c>
      <c r="B67" s="53">
        <f>SUM(B63:B66)</f>
        <v>9.816828859394782</v>
      </c>
      <c r="C67" s="46">
        <f>SUM(C63:C66)</f>
        <v>532.0468602651338</v>
      </c>
      <c r="D67" s="53">
        <f>SUM(D63:D66)</f>
        <v>12569.265702408498</v>
      </c>
      <c r="E67" s="11"/>
      <c r="F67" s="11"/>
      <c r="G67" s="11"/>
      <c r="I67" s="11"/>
      <c r="J67" s="46">
        <f>SUM(J63:J66)</f>
        <v>736.8908865795918</v>
      </c>
      <c r="K67" s="83">
        <f>SUMPRODUCT(K63:K66,D63:D66)/D67</f>
        <v>0.05862640698560379</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68.2093922812498</v>
      </c>
      <c r="C70" s="46">
        <f t="shared" si="1"/>
        <v>4207.326475029313</v>
      </c>
      <c r="D70" s="135">
        <f t="shared" si="1"/>
        <v>62875.02108387416</v>
      </c>
      <c r="E70" s="135"/>
      <c r="F70" s="83">
        <f>IF(D70&lt;&gt;0,C70/D70,0)</f>
        <v>0.0669157067862739</v>
      </c>
      <c r="G70" s="159"/>
      <c r="H70" s="54">
        <v>1.3882853153395636</v>
      </c>
      <c r="I70" s="72"/>
      <c r="J70" s="46">
        <f>C70*H70</f>
        <v>5840.969562122564</v>
      </c>
      <c r="K70" s="83">
        <f>F70*(H70)</f>
        <v>0.09289809309695203</v>
      </c>
    </row>
    <row r="71" spans="1:11" ht="12.75" customHeight="1">
      <c r="A71" s="338" t="s">
        <v>136</v>
      </c>
      <c r="B71" s="135">
        <f t="shared" si="1"/>
        <v>14.27049638168535</v>
      </c>
      <c r="C71" s="46">
        <f t="shared" si="1"/>
        <v>478.8149444677065</v>
      </c>
      <c r="D71" s="135">
        <f t="shared" si="1"/>
        <v>30945.26123106547</v>
      </c>
      <c r="E71" s="135"/>
      <c r="F71" s="83">
        <f>IF(D71&lt;&gt;0,C71/D71,0)</f>
        <v>0.015472965016919346</v>
      </c>
      <c r="G71" s="159"/>
      <c r="H71" s="54">
        <v>1.280106436830296</v>
      </c>
      <c r="I71" s="72"/>
      <c r="J71" s="46">
        <f>C71*H71</f>
        <v>612.9340924636517</v>
      </c>
      <c r="K71" s="83">
        <f>F71*(H71)</f>
        <v>0.019807042115008444</v>
      </c>
    </row>
    <row r="72" spans="1:11" ht="12.75" customHeight="1">
      <c r="A72" s="337" t="s">
        <v>137</v>
      </c>
      <c r="B72" s="135">
        <f t="shared" si="1"/>
        <v>5.187316926824908</v>
      </c>
      <c r="C72" s="46">
        <f t="shared" si="1"/>
        <v>203.858206697698</v>
      </c>
      <c r="D72" s="135">
        <f t="shared" si="1"/>
        <v>11248.584008257649</v>
      </c>
      <c r="E72" s="135"/>
      <c r="F72" s="83">
        <f>IF(D72&lt;&gt;0,C72/D72,0)</f>
        <v>0.018123010553865674</v>
      </c>
      <c r="G72" s="159"/>
      <c r="H72" s="54">
        <v>1.5205589342948984</v>
      </c>
      <c r="I72" s="72"/>
      <c r="J72" s="46">
        <f>C72*H72</f>
        <v>309.97841752352076</v>
      </c>
      <c r="K72" s="83">
        <f>F72*(H72)</f>
        <v>0.027557105614001185</v>
      </c>
    </row>
    <row r="73" spans="1:11" ht="12.75" customHeight="1">
      <c r="A73" s="337" t="s">
        <v>107</v>
      </c>
      <c r="B73" s="135">
        <f t="shared" si="1"/>
        <v>0.3290160126522579</v>
      </c>
      <c r="C73" s="46">
        <f t="shared" si="1"/>
        <v>12.585685023980494</v>
      </c>
      <c r="D73" s="135">
        <f t="shared" si="1"/>
        <v>713.4640721954497</v>
      </c>
      <c r="E73" s="135"/>
      <c r="F73" s="83">
        <f>IF(D73&lt;&gt;0,C73/D73,0)</f>
        <v>0.017640250594892902</v>
      </c>
      <c r="G73" s="159"/>
      <c r="H73" s="54">
        <v>1.280106436830296</v>
      </c>
      <c r="I73" s="72"/>
      <c r="J73" s="46">
        <f>C73*H73</f>
        <v>16.111016411116086</v>
      </c>
      <c r="K73" s="83">
        <f>F73*(H73)</f>
        <v>0.02258139833382186</v>
      </c>
    </row>
    <row r="74" spans="1:11" ht="12.75" customHeight="1">
      <c r="A74" s="337" t="s">
        <v>102</v>
      </c>
      <c r="B74" s="135">
        <f>SUM(B70:B73)</f>
        <v>87.99622160241232</v>
      </c>
      <c r="C74" s="46">
        <f>SUM(C70:C73)</f>
        <v>4902.585311218698</v>
      </c>
      <c r="D74" s="135">
        <f>SUM(D70:D73)</f>
        <v>105782.33039539272</v>
      </c>
      <c r="E74" s="135"/>
      <c r="F74" s="41"/>
      <c r="G74" s="159"/>
      <c r="H74" s="54"/>
      <c r="I74" s="72"/>
      <c r="J74" s="46">
        <f>SUM(J70:J73)</f>
        <v>6779.993088520852</v>
      </c>
      <c r="K74" s="83">
        <f>SUMPRODUCT(K70:K73,D70:D73)/D74</f>
        <v>0.0640938147531693</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353.5802459987515</v>
      </c>
      <c r="C78" s="46">
        <v>21809.71681882087</v>
      </c>
      <c r="D78" s="135">
        <v>921475.3684565196</v>
      </c>
      <c r="E78" s="135"/>
      <c r="F78" s="83">
        <f>IF(D78&lt;&gt;0,C78/D78,0)</f>
        <v>0.023668258062450834</v>
      </c>
      <c r="G78" s="159"/>
      <c r="H78" s="54">
        <v>1.3882853153395636</v>
      </c>
      <c r="I78" s="72"/>
      <c r="J78" s="46">
        <f>C78*H78</f>
        <v>30278.109591283315</v>
      </c>
      <c r="K78" s="83">
        <f>F78*(H78)</f>
        <v>0.03285829510776772</v>
      </c>
      <c r="M78" s="63"/>
    </row>
    <row r="79" spans="1:13" ht="12.75">
      <c r="A79" s="338" t="s">
        <v>136</v>
      </c>
      <c r="B79" s="135">
        <v>116.68190722847541</v>
      </c>
      <c r="C79" s="46">
        <v>3915.0033352512137</v>
      </c>
      <c r="D79" s="135">
        <v>363047.640572495</v>
      </c>
      <c r="E79" s="135"/>
      <c r="F79" s="83">
        <f>IF(D79&lt;&gt;0,C79/D79,0)</f>
        <v>0.010783717886384247</v>
      </c>
      <c r="G79" s="159"/>
      <c r="H79" s="54">
        <v>1.280106436830296</v>
      </c>
      <c r="I79" s="72"/>
      <c r="J79" s="46">
        <f>C79*H79</f>
        <v>5011.620969667156</v>
      </c>
      <c r="K79" s="83">
        <f>F79*(H79)</f>
        <v>0.013804306679322469</v>
      </c>
      <c r="M79" s="63"/>
    </row>
    <row r="80" spans="1:13" ht="12.75">
      <c r="A80" s="337" t="s">
        <v>137</v>
      </c>
      <c r="B80" s="135">
        <v>52.154504497253235</v>
      </c>
      <c r="C80" s="46">
        <v>2226.2411017175027</v>
      </c>
      <c r="D80" s="135">
        <v>162275.1140489973</v>
      </c>
      <c r="E80" s="135"/>
      <c r="F80" s="83">
        <f>IF(D80&lt;&gt;0,C80/D80,0)</f>
        <v>0.013718931055844536</v>
      </c>
      <c r="G80" s="159"/>
      <c r="H80" s="54">
        <v>1.5205589342948984</v>
      </c>
      <c r="I80" s="72"/>
      <c r="J80" s="46">
        <f>C80*H80</f>
        <v>3385.1307971110664</v>
      </c>
      <c r="K80" s="83">
        <f>F80*(H80)</f>
        <v>0.02086044318594015</v>
      </c>
      <c r="M80" s="63"/>
    </row>
    <row r="81" spans="1:13" ht="12.75">
      <c r="A81" s="337" t="s">
        <v>107</v>
      </c>
      <c r="B81" s="135">
        <v>2.0144171840084617</v>
      </c>
      <c r="C81" s="46">
        <v>77.05649333128368</v>
      </c>
      <c r="D81" s="135">
        <v>6267.718990493889</v>
      </c>
      <c r="E81" s="135"/>
      <c r="F81" s="83">
        <f>IF(D81&lt;&gt;0,C81/D81,0)</f>
        <v>0.012294184447029862</v>
      </c>
      <c r="G81" s="159"/>
      <c r="H81" s="54">
        <v>1.280106436830296</v>
      </c>
      <c r="I81" s="72"/>
      <c r="J81" s="46">
        <f>C81*H81</f>
        <v>98.640513112947</v>
      </c>
      <c r="K81" s="83">
        <f>F81*(H81)</f>
        <v>0.01573786464622184</v>
      </c>
      <c r="M81" s="63"/>
    </row>
    <row r="82" spans="1:13" ht="12.75">
      <c r="A82" s="337" t="s">
        <v>102</v>
      </c>
      <c r="B82" s="135">
        <f>SUM(B78:B81)</f>
        <v>524.4310749084887</v>
      </c>
      <c r="C82" s="46">
        <f>SUM(C78:C81)</f>
        <v>28028.017749120874</v>
      </c>
      <c r="D82" s="135">
        <f>SUM(D78:D81)</f>
        <v>1453065.8420685057</v>
      </c>
      <c r="E82" s="135"/>
      <c r="F82" s="83">
        <f>IF(D82&lt;&gt;0,C82/D82,0)</f>
        <v>0.01928888350249959</v>
      </c>
      <c r="G82" s="159"/>
      <c r="H82" s="54"/>
      <c r="I82" s="72"/>
      <c r="J82" s="46">
        <f>SUM(J78:J81)</f>
        <v>38773.501871174485</v>
      </c>
      <c r="K82" s="83">
        <f>SUMPRODUCT(K78:K81,D78:D81)/D82</f>
        <v>0.02668392632227775</v>
      </c>
      <c r="M82" s="63"/>
    </row>
    <row r="83" spans="2:11" ht="4.5" customHeight="1">
      <c r="B83" s="57"/>
      <c r="C83" s="46"/>
      <c r="D83" s="44"/>
      <c r="E83" s="44"/>
      <c r="F83" s="45"/>
      <c r="G83" s="23"/>
      <c r="H83" s="55"/>
      <c r="I83" s="79"/>
      <c r="J83" s="46"/>
      <c r="K83" s="41"/>
    </row>
    <row r="84" ht="12.75" customHeight="1"/>
    <row r="85" ht="15">
      <c r="A85" s="158" t="s">
        <v>59</v>
      </c>
    </row>
    <row r="86" ht="1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3.15-Route UAA NoPARS'!$D$103,'Table 3.15-Route UAA NoPARS'!$D$109)</f>
        <v>949.3770800880284</v>
      </c>
      <c r="D90" s="40">
        <f>'Table 3.14-Route UAA'!D90*SUM($D$103,$D$109)/SUM($D$103,$D$109,'Table 3.15-Route UAA NoPARS'!$D$103,'Table 3.15-Route UAA NoPARS'!$D$109)</f>
        <v>18365.818805543317</v>
      </c>
      <c r="E90" s="184" t="s">
        <v>239</v>
      </c>
      <c r="F90" s="83">
        <f>IF(D90&lt;&gt;0,C90/D90,0)</f>
        <v>0.05169260843417882</v>
      </c>
      <c r="G90" s="285" t="s">
        <v>240</v>
      </c>
      <c r="H90" s="54">
        <v>1.37715102157782</v>
      </c>
      <c r="I90" s="72"/>
      <c r="J90" s="46">
        <f>C90*H90</f>
        <v>1307.4356157057962</v>
      </c>
      <c r="K90" s="83">
        <f>F90*(H90)</f>
        <v>0.07118852851315159</v>
      </c>
      <c r="P90" s="140"/>
      <c r="Q90" s="140"/>
      <c r="R90" s="140"/>
      <c r="S90" s="140"/>
      <c r="T90" s="140"/>
    </row>
    <row r="91" spans="1:13" ht="12.75">
      <c r="A91" s="81" t="s">
        <v>781</v>
      </c>
      <c r="B91" s="56" t="s">
        <v>106</v>
      </c>
      <c r="C91" s="46">
        <f>'Table 3.14-Route UAA'!C91*SUM($D$103,$D$109)/SUM($D$103,$D$109,'Table 3.15-Route UAA NoPARS'!$D$103,'Table 3.15-Route UAA NoPARS'!$D$109)</f>
        <v>3382.5279465478784</v>
      </c>
      <c r="D91" s="40">
        <f>'Table 3.14-Route UAA'!D91*SUM($D$103,$D$109)/SUM($D$103,$D$109,'Table 3.15-Route UAA NoPARS'!$D$103,'Table 3.15-Route UAA NoPARS'!$D$109)</f>
        <v>18365.818805543317</v>
      </c>
      <c r="E91" s="184" t="s">
        <v>239</v>
      </c>
      <c r="F91" s="83">
        <f>IF(D91&lt;&gt;0,C91/D91,0)</f>
        <v>0.18417517794125993</v>
      </c>
      <c r="G91" s="285" t="s">
        <v>240</v>
      </c>
      <c r="H91" s="340">
        <v>1.7618940786298556</v>
      </c>
      <c r="I91" s="72"/>
      <c r="J91" s="46">
        <f>C91*H91</f>
        <v>5959.655959822711</v>
      </c>
      <c r="K91" s="83">
        <f>F91*(H91)</f>
        <v>0.3244971554453059</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3.15-Route UAA NoPARS'!$D$111)</f>
        <v>154.9674535511114</v>
      </c>
      <c r="D93" s="40">
        <f>'Table 3.14-Route UAA'!D93*$D$111/SUM($D$111,'Table 3.15-Route UAA NoPARS'!$D$111)</f>
        <v>3156.0129045707386</v>
      </c>
      <c r="E93" s="184" t="s">
        <v>239</v>
      </c>
      <c r="F93" s="83">
        <f>IF(D93&lt;&gt;0,C93/D93,0)</f>
        <v>0.04910228767654203</v>
      </c>
      <c r="G93" s="285" t="s">
        <v>240</v>
      </c>
      <c r="H93" s="54">
        <v>1.37715102157782</v>
      </c>
      <c r="I93" s="72"/>
      <c r="J93" s="46">
        <f>C93*H93</f>
        <v>213.41358696922643</v>
      </c>
      <c r="K93" s="83">
        <f>F93*(H93)</f>
        <v>0.06762126563555786</v>
      </c>
    </row>
    <row r="94" spans="1:13" ht="12.75">
      <c r="A94" s="81" t="s">
        <v>781</v>
      </c>
      <c r="B94" s="56" t="s">
        <v>106</v>
      </c>
      <c r="C94" s="46">
        <f>'Table 3.14-Route UAA'!C94*$D$111/SUM($D$111,'Table 3.15-Route UAA NoPARS'!$D$111)</f>
        <v>355.1967903043941</v>
      </c>
      <c r="D94" s="40">
        <f>'Table 3.14-Route UAA'!D94*$D$111/SUM($D$111,'Table 3.15-Route UAA NoPARS'!$D$111)</f>
        <v>3156.0129045707386</v>
      </c>
      <c r="E94" s="184" t="s">
        <v>239</v>
      </c>
      <c r="F94" s="83">
        <f>IF(D94&lt;&gt;0,C94/D94,0)</f>
        <v>0.11254605131366083</v>
      </c>
      <c r="G94" s="285" t="s">
        <v>240</v>
      </c>
      <c r="H94" s="340">
        <v>1.7618940786298556</v>
      </c>
      <c r="I94" s="79"/>
      <c r="J94" s="46">
        <f>C94*H94</f>
        <v>625.8191215856424</v>
      </c>
      <c r="K94" s="83">
        <f>F94*(H94)</f>
        <v>0.19829422138271088</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889717.6605400663</v>
      </c>
      <c r="E99" s="40"/>
      <c r="F99" s="56" t="s">
        <v>106</v>
      </c>
      <c r="G99" s="159"/>
      <c r="H99" s="56" t="s">
        <v>106</v>
      </c>
      <c r="I99" s="72"/>
      <c r="J99" s="46">
        <f>J11+SUM($J$90:$J$91)*D99/SUM($D$103,$D$109)</f>
        <v>63269.444001917655</v>
      </c>
      <c r="K99" s="83">
        <f>J99/D99</f>
        <v>0.07111182210715314</v>
      </c>
    </row>
    <row r="100" spans="1:11" ht="12.75">
      <c r="A100" s="338" t="s">
        <v>287</v>
      </c>
      <c r="B100" s="56" t="s">
        <v>106</v>
      </c>
      <c r="C100" s="46" t="s">
        <v>106</v>
      </c>
      <c r="D100" s="40">
        <f>D18</f>
        <v>82665.01489561028</v>
      </c>
      <c r="E100" s="40"/>
      <c r="F100" s="56" t="s">
        <v>106</v>
      </c>
      <c r="G100" s="159"/>
      <c r="H100" s="56" t="s">
        <v>106</v>
      </c>
      <c r="I100" s="72"/>
      <c r="J100" s="46">
        <f>J18+SUM($J$90:$J$91)*D100/SUM($D$103,$D$109)</f>
        <v>5776.88932194238</v>
      </c>
      <c r="K100" s="83">
        <f>J100/D100</f>
        <v>0.06988312201041105</v>
      </c>
    </row>
    <row r="101" spans="1:11" ht="12.75">
      <c r="A101" s="338" t="s">
        <v>282</v>
      </c>
      <c r="B101" s="56" t="s">
        <v>106</v>
      </c>
      <c r="C101" s="46" t="s">
        <v>106</v>
      </c>
      <c r="D101" s="40">
        <f>D25</f>
        <v>293187.41618747346</v>
      </c>
      <c r="E101" s="40"/>
      <c r="F101" s="56" t="s">
        <v>106</v>
      </c>
      <c r="G101" s="159"/>
      <c r="H101" s="56" t="s">
        <v>106</v>
      </c>
      <c r="I101" s="72"/>
      <c r="J101" s="46">
        <f>J25+SUM($J$90:$J$91)*D101/SUM($D$103,$D$109)</f>
        <v>20907.46561797863</v>
      </c>
      <c r="K101" s="83">
        <f>J101/D101</f>
        <v>0.07131092421991851</v>
      </c>
    </row>
    <row r="102" spans="1:11" ht="12.75">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11" ht="12.75">
      <c r="A103" s="338" t="s">
        <v>281</v>
      </c>
      <c r="B103" s="56"/>
      <c r="C103" s="46"/>
      <c r="D103" s="40">
        <f>SUM(D99:D102)</f>
        <v>1265570.09162315</v>
      </c>
      <c r="E103" s="40"/>
      <c r="F103" s="56"/>
      <c r="G103" s="159"/>
      <c r="H103" s="56"/>
      <c r="I103" s="72"/>
      <c r="J103" s="46">
        <f>SUM(J99:J102)</f>
        <v>89953.79894183866</v>
      </c>
      <c r="K103" s="83">
        <f>J103/D103</f>
        <v>0.0710776902340264</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70414.01539999999</v>
      </c>
      <c r="E106" s="40"/>
      <c r="F106" s="56" t="s">
        <v>106</v>
      </c>
      <c r="G106" s="159"/>
      <c r="H106" s="56" t="s">
        <v>106</v>
      </c>
      <c r="I106" s="72"/>
      <c r="J106" s="46">
        <f>J52+SUM($J$90:$J$91)*D106/SUM($D$103,$D$109)</f>
        <v>4920.6521482229255</v>
      </c>
      <c r="K106" s="83">
        <f>J106/D106</f>
        <v>0.06988171488687643</v>
      </c>
    </row>
    <row r="107" spans="1:11" ht="12.75">
      <c r="A107" s="338" t="s">
        <v>393</v>
      </c>
      <c r="B107" s="56" t="s">
        <v>106</v>
      </c>
      <c r="C107" s="46" t="s">
        <v>106</v>
      </c>
      <c r="D107" s="40">
        <f>D60</f>
        <v>22799.04929298423</v>
      </c>
      <c r="E107" s="40"/>
      <c r="F107" s="56" t="s">
        <v>106</v>
      </c>
      <c r="G107" s="159"/>
      <c r="H107" s="56" t="s">
        <v>106</v>
      </c>
      <c r="I107" s="72"/>
      <c r="J107" s="46">
        <f>J60+SUM($J$90:$J$91)*D107/SUM($D$103,$D$109)</f>
        <v>1616.4061413610048</v>
      </c>
      <c r="K107" s="83">
        <f>J107/D107</f>
        <v>0.07089796248032187</v>
      </c>
    </row>
    <row r="108" spans="1:11" ht="12.75">
      <c r="A108" s="338" t="s">
        <v>388</v>
      </c>
      <c r="B108" s="56" t="s">
        <v>106</v>
      </c>
      <c r="C108" s="46" t="s">
        <v>106</v>
      </c>
      <c r="D108" s="40">
        <f>D67</f>
        <v>12569.265702408498</v>
      </c>
      <c r="E108" s="40"/>
      <c r="F108" s="56" t="s">
        <v>106</v>
      </c>
      <c r="G108" s="159"/>
      <c r="H108" s="56" t="s">
        <v>106</v>
      </c>
      <c r="I108" s="72"/>
      <c r="J108" s="46">
        <f>J67+SUM($J$90:$J$91)*D108/SUM($D$103,$D$109)</f>
        <v>803.4981302245934</v>
      </c>
      <c r="K108" s="83">
        <f>J108/D108</f>
        <v>0.0639256221682567</v>
      </c>
    </row>
    <row r="109" spans="1:11" ht="12.75">
      <c r="A109" s="338" t="s">
        <v>394</v>
      </c>
      <c r="B109" s="56"/>
      <c r="C109" s="46"/>
      <c r="D109" s="40">
        <f>SUM(D106:D108)</f>
        <v>105782.33039539272</v>
      </c>
      <c r="E109" s="40"/>
      <c r="F109" s="56"/>
      <c r="G109" s="159"/>
      <c r="H109" s="56"/>
      <c r="I109" s="72"/>
      <c r="J109" s="46">
        <f>SUM(J106:J108)</f>
        <v>7340.556419808524</v>
      </c>
      <c r="K109" s="83">
        <f>J109/D109</f>
        <v>0.06939302993582222</v>
      </c>
    </row>
    <row r="110" spans="1:11" ht="4.5" customHeight="1">
      <c r="A110" s="21"/>
      <c r="B110" s="56"/>
      <c r="C110" s="46"/>
      <c r="D110" s="40"/>
      <c r="E110" s="40"/>
      <c r="F110" s="56"/>
      <c r="G110" s="159"/>
      <c r="H110" s="56"/>
      <c r="I110" s="72"/>
      <c r="J110" s="46"/>
      <c r="K110" s="83"/>
    </row>
    <row r="111" spans="1:24" ht="12.75">
      <c r="A111" s="82" t="s">
        <v>286</v>
      </c>
      <c r="B111" s="56" t="s">
        <v>106</v>
      </c>
      <c r="C111" s="46" t="s">
        <v>106</v>
      </c>
      <c r="D111" s="40">
        <f>D82</f>
        <v>1453065.8420685057</v>
      </c>
      <c r="E111" s="285" t="s">
        <v>241</v>
      </c>
      <c r="F111" s="56"/>
      <c r="G111" s="159"/>
      <c r="H111" s="56"/>
      <c r="I111" s="72"/>
      <c r="J111" s="46">
        <f>SUM(J93:J94)+J82</f>
        <v>39612.73457972935</v>
      </c>
      <c r="K111" s="83">
        <f>J111/D111</f>
        <v>0.02726148632283504</v>
      </c>
      <c r="M111" s="140"/>
      <c r="N111" s="140"/>
      <c r="O111" s="140"/>
      <c r="P111" s="140"/>
      <c r="Q111" s="140"/>
      <c r="R111" s="140"/>
      <c r="S111" s="140"/>
      <c r="T111" s="140"/>
      <c r="U111" s="140"/>
      <c r="V111" s="140"/>
      <c r="W111" s="140"/>
      <c r="X111" s="140"/>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-1.1368683772161603E-12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-3.7834979593753815E-10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row r="125" ht="12.75">
      <c r="A125" s="145" t="s">
        <v>61</v>
      </c>
    </row>
    <row r="126" ht="12.75">
      <c r="A126" s="462" t="s">
        <v>60</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N37"/>
  <sheetViews>
    <sheetView zoomScale="70" zoomScaleNormal="70" zoomScalePageLayoutView="0" workbookViewId="0" topLeftCell="A1">
      <selection activeCell="A1" sqref="A1"/>
    </sheetView>
  </sheetViews>
  <sheetFormatPr defaultColWidth="9.140625" defaultRowHeight="12.75"/>
  <cols>
    <col min="1" max="1" width="27.7109375" style="0" bestFit="1" customWidth="1"/>
    <col min="2" max="2" width="11.7109375" style="0" customWidth="1"/>
    <col min="3" max="3" width="2.7109375" style="0" customWidth="1"/>
    <col min="4" max="4" width="10.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1" width="11.7109375" style="0" customWidth="1"/>
  </cols>
  <sheetData>
    <row r="1" ht="15">
      <c r="A1" s="157" t="s">
        <v>20</v>
      </c>
    </row>
    <row r="2" ht="15">
      <c r="A2" s="158" t="s">
        <v>787</v>
      </c>
    </row>
    <row r="3" spans="2:11" ht="25.5">
      <c r="B3" s="168" t="s">
        <v>258</v>
      </c>
      <c r="C3" s="168"/>
      <c r="D3" s="183" t="s">
        <v>207</v>
      </c>
      <c r="E3" s="183"/>
      <c r="F3" s="146" t="s">
        <v>217</v>
      </c>
      <c r="G3" s="161"/>
      <c r="H3" s="160" t="s">
        <v>246</v>
      </c>
      <c r="I3" s="159"/>
      <c r="J3" s="42" t="s">
        <v>218</v>
      </c>
      <c r="K3" s="41" t="s">
        <v>133</v>
      </c>
    </row>
    <row r="5" ht="12.75">
      <c r="A5" s="25" t="s">
        <v>274</v>
      </c>
    </row>
    <row r="6" spans="1:11" ht="12.75">
      <c r="A6" s="28" t="s">
        <v>219</v>
      </c>
      <c r="B6" s="6">
        <v>7041.6577516089</v>
      </c>
      <c r="C6" s="6"/>
      <c r="D6" s="22">
        <v>0.05169260843417882</v>
      </c>
      <c r="E6" s="306" t="s">
        <v>236</v>
      </c>
      <c r="F6" s="165">
        <f>B6*D6</f>
        <v>364.0016568814189</v>
      </c>
      <c r="H6" s="166">
        <v>1.37715102157782</v>
      </c>
      <c r="J6" s="165">
        <f>H6*F6</f>
        <v>501.2852536302652</v>
      </c>
      <c r="K6" s="22">
        <f>J6/B6</f>
        <v>0.0711885285131516</v>
      </c>
    </row>
    <row r="7" spans="1:11" ht="12.75">
      <c r="A7" s="89" t="s">
        <v>381</v>
      </c>
      <c r="B7" s="6">
        <f>B6</f>
        <v>7041.6577516089</v>
      </c>
      <c r="C7" s="6"/>
      <c r="D7" s="22">
        <v>0.16492758013856584</v>
      </c>
      <c r="E7" s="306" t="s">
        <v>239</v>
      </c>
      <c r="F7" s="165">
        <f>B7*D7</f>
        <v>1161.3635731368302</v>
      </c>
      <c r="H7" s="336">
        <v>1.7618940786298556</v>
      </c>
      <c r="J7" s="165">
        <f>H7*F7</f>
        <v>2046.1996026461923</v>
      </c>
      <c r="K7" s="22">
        <f>J7/B7</f>
        <v>0.2905849268488901</v>
      </c>
    </row>
    <row r="8" spans="1:11" ht="12.75">
      <c r="A8" s="89" t="s">
        <v>382</v>
      </c>
      <c r="B8" s="6">
        <f>B7</f>
        <v>7041.6577516089</v>
      </c>
      <c r="C8" s="6"/>
      <c r="D8" s="22">
        <v>0.019247597802694083</v>
      </c>
      <c r="E8" s="306" t="s">
        <v>240</v>
      </c>
      <c r="F8" s="165">
        <f>B8*D8</f>
        <v>135.53499626719122</v>
      </c>
      <c r="H8" s="29">
        <v>1.7618940786298556</v>
      </c>
      <c r="J8" s="165">
        <f>H8*F8</f>
        <v>238.7983073702838</v>
      </c>
      <c r="K8" s="22">
        <f>J8/B8</f>
        <v>0.033912228596415725</v>
      </c>
    </row>
    <row r="9" spans="1:11" ht="12.75">
      <c r="A9" s="21" t="s">
        <v>102</v>
      </c>
      <c r="B9" s="6">
        <f>B8</f>
        <v>7041.6577516089</v>
      </c>
      <c r="C9" s="6"/>
      <c r="F9" s="165">
        <f>SUM(F6:F8)</f>
        <v>1660.9002262854403</v>
      </c>
      <c r="J9" s="165">
        <f>SUM(J6:J8)</f>
        <v>2786.2831636467413</v>
      </c>
      <c r="K9" s="22">
        <f>J9/B9</f>
        <v>0.39568568395845743</v>
      </c>
    </row>
    <row r="11" ht="12.75">
      <c r="A11" s="25" t="s">
        <v>278</v>
      </c>
    </row>
    <row r="12" spans="1:11" ht="12.75">
      <c r="A12" s="28" t="s">
        <v>219</v>
      </c>
      <c r="B12" s="6">
        <v>14632.57398001194</v>
      </c>
      <c r="C12" s="6"/>
      <c r="D12" s="22">
        <v>0.05169260843417882</v>
      </c>
      <c r="E12" s="306" t="s">
        <v>236</v>
      </c>
      <c r="F12" s="165">
        <f>B12*D12</f>
        <v>756.3959171329108</v>
      </c>
      <c r="H12" s="166">
        <v>1.37715102157782</v>
      </c>
      <c r="J12" s="165">
        <f>H12*F12</f>
        <v>1041.6714099968801</v>
      </c>
      <c r="K12" s="22">
        <f>J12/B12</f>
        <v>0.07118852851315159</v>
      </c>
    </row>
    <row r="13" spans="1:11" ht="12.75">
      <c r="A13" s="89" t="s">
        <v>381</v>
      </c>
      <c r="B13" s="6">
        <f>B12</f>
        <v>14632.57398001194</v>
      </c>
      <c r="C13" s="6"/>
      <c r="D13" s="22">
        <v>0.16492758013856584</v>
      </c>
      <c r="E13" s="306" t="s">
        <v>239</v>
      </c>
      <c r="F13" s="165">
        <f>B13*D13</f>
        <v>2413.3150177219127</v>
      </c>
      <c r="H13" s="336">
        <v>1.7618940786298556</v>
      </c>
      <c r="J13" s="165">
        <f>H13*F13</f>
        <v>4252.005439592743</v>
      </c>
      <c r="K13" s="22">
        <f>J13/B13</f>
        <v>0.2905849268488901</v>
      </c>
    </row>
    <row r="14" spans="1:11" ht="12.75">
      <c r="A14" s="89" t="s">
        <v>382</v>
      </c>
      <c r="B14" s="6">
        <f>B13</f>
        <v>14632.57398001194</v>
      </c>
      <c r="C14" s="6"/>
      <c r="D14" s="22">
        <v>0.019247597802694083</v>
      </c>
      <c r="E14" s="306" t="s">
        <v>240</v>
      </c>
      <c r="F14" s="165">
        <f>B14*D14</f>
        <v>281.64189878543647</v>
      </c>
      <c r="H14" s="29">
        <v>1.7618940786298556</v>
      </c>
      <c r="J14" s="165">
        <f>H14*F14</f>
        <v>496.22319376412963</v>
      </c>
      <c r="K14" s="22">
        <f>J14/B14</f>
        <v>0.033912228596415725</v>
      </c>
    </row>
    <row r="15" spans="1:11" ht="12.75">
      <c r="A15" s="21" t="s">
        <v>102</v>
      </c>
      <c r="B15" s="6">
        <f>B14</f>
        <v>14632.57398001194</v>
      </c>
      <c r="C15" s="6"/>
      <c r="F15" s="165">
        <f>SUM(F12:F14)</f>
        <v>3451.3528336402596</v>
      </c>
      <c r="J15" s="165">
        <f>SUM(J12:J14)</f>
        <v>5789.900043353753</v>
      </c>
      <c r="K15" s="22">
        <f>J15/B15</f>
        <v>0.3956856839584575</v>
      </c>
    </row>
    <row r="17" spans="1:14" ht="12.75">
      <c r="A17" s="47" t="s">
        <v>279</v>
      </c>
      <c r="N17" s="12"/>
    </row>
    <row r="18" spans="1:11" ht="12.75">
      <c r="A18" s="28" t="s">
        <v>219</v>
      </c>
      <c r="B18" s="6">
        <v>4468.36644904772</v>
      </c>
      <c r="C18" s="6"/>
      <c r="D18" s="22">
        <v>0.049102287676542025</v>
      </c>
      <c r="E18" s="306" t="s">
        <v>236</v>
      </c>
      <c r="F18" s="165">
        <f>B18*D18</f>
        <v>219.40701482534973</v>
      </c>
      <c r="H18" s="166">
        <v>1.37715102157782</v>
      </c>
      <c r="J18" s="165">
        <f>H18*F18</f>
        <v>302.1565946080703</v>
      </c>
      <c r="K18" s="22">
        <f>J18/B18</f>
        <v>0.06762126563555786</v>
      </c>
    </row>
    <row r="19" spans="1:14" ht="12.75">
      <c r="A19" s="89" t="s">
        <v>381</v>
      </c>
      <c r="B19" s="6">
        <f>B18</f>
        <v>4468.36644904772</v>
      </c>
      <c r="C19" s="6"/>
      <c r="D19" s="22">
        <v>0.09329845351096674</v>
      </c>
      <c r="E19" s="306" t="s">
        <v>239</v>
      </c>
      <c r="F19" s="165">
        <f>B19*D19</f>
        <v>416.8916794164423</v>
      </c>
      <c r="H19" s="336">
        <v>1.7618940786298556</v>
      </c>
      <c r="J19" s="165">
        <f>H19*F19</f>
        <v>734.5189813938857</v>
      </c>
      <c r="K19" s="22">
        <f>J19/B19</f>
        <v>0.16438199278629517</v>
      </c>
      <c r="N19" s="13"/>
    </row>
    <row r="20" spans="1:11" ht="12.75">
      <c r="A20" s="89" t="s">
        <v>382</v>
      </c>
      <c r="B20" s="6">
        <f>B19</f>
        <v>4468.36644904772</v>
      </c>
      <c r="C20" s="6"/>
      <c r="D20" s="22">
        <v>0.019247597802694083</v>
      </c>
      <c r="E20" s="306" t="s">
        <v>240</v>
      </c>
      <c r="F20" s="165">
        <f>B20*D20</f>
        <v>86.00532024632287</v>
      </c>
      <c r="H20" s="29">
        <v>1.7618940786298556</v>
      </c>
      <c r="J20" s="165">
        <f>H20*F20</f>
        <v>151.5322644726607</v>
      </c>
      <c r="K20" s="22">
        <f>J20/B20</f>
        <v>0.033912228596415725</v>
      </c>
    </row>
    <row r="21" spans="1:11" ht="12.75">
      <c r="A21" s="21" t="s">
        <v>102</v>
      </c>
      <c r="B21" s="6">
        <f>B20</f>
        <v>4468.36644904772</v>
      </c>
      <c r="C21" s="6"/>
      <c r="F21" s="165">
        <f>SUM(F18:F20)</f>
        <v>722.3040144881148</v>
      </c>
      <c r="J21" s="165">
        <f>SUM(J18:J20)</f>
        <v>1188.2078404746167</v>
      </c>
      <c r="K21" s="22">
        <f>J21/B21</f>
        <v>0.2659154870182687</v>
      </c>
    </row>
    <row r="23" ht="12.75">
      <c r="A23" s="47" t="s">
        <v>220</v>
      </c>
    </row>
    <row r="24" spans="1:11" ht="12.75">
      <c r="A24" s="28" t="s">
        <v>219</v>
      </c>
      <c r="B24" s="6">
        <f>B6+B12+B18</f>
        <v>26142.598180668563</v>
      </c>
      <c r="C24" s="6"/>
      <c r="D24" s="22">
        <f>F24/B24</f>
        <v>0.05124986352084977</v>
      </c>
      <c r="E24" s="22"/>
      <c r="F24" s="165">
        <f>F6+F12+F18</f>
        <v>1339.8045888396794</v>
      </c>
      <c r="J24" s="165">
        <f>J6+J12+J18</f>
        <v>1845.1132582352154</v>
      </c>
      <c r="K24" s="22">
        <f>J24/B24</f>
        <v>0.07057880190346211</v>
      </c>
    </row>
    <row r="25" spans="1:11" ht="12.75">
      <c r="A25" s="89" t="s">
        <v>381</v>
      </c>
      <c r="B25" s="6">
        <f>B7+B13+B19</f>
        <v>26142.598180668563</v>
      </c>
      <c r="C25" s="6"/>
      <c r="D25" s="22">
        <f>F25/B25</f>
        <v>0.15268452824351622</v>
      </c>
      <c r="E25" s="22"/>
      <c r="F25" s="165">
        <f>F7+F13+F19</f>
        <v>3991.570270275185</v>
      </c>
      <c r="J25" s="165">
        <f>J7+J13+J19</f>
        <v>7032.724023632821</v>
      </c>
      <c r="K25" s="22">
        <f>J25/B25</f>
        <v>0.26901396621064416</v>
      </c>
    </row>
    <row r="26" spans="1:11" ht="12.75">
      <c r="A26" s="89" t="s">
        <v>382</v>
      </c>
      <c r="B26" s="6">
        <f>B8+B14+B20</f>
        <v>26142.598180668563</v>
      </c>
      <c r="C26" s="6"/>
      <c r="D26" s="22">
        <f>F26/B26</f>
        <v>0.019247597802694083</v>
      </c>
      <c r="E26" s="22"/>
      <c r="F26" s="165">
        <f>F8+F14+F20</f>
        <v>503.18221529895055</v>
      </c>
      <c r="J26" s="165">
        <f>J8+J14+J20</f>
        <v>886.5537656070742</v>
      </c>
      <c r="K26" s="22">
        <f>J26/B26</f>
        <v>0.033912228596415725</v>
      </c>
    </row>
    <row r="27" spans="1:11" ht="12.75">
      <c r="A27" s="21" t="s">
        <v>102</v>
      </c>
      <c r="B27" s="6">
        <f>B9+B15+B21</f>
        <v>26142.598180668563</v>
      </c>
      <c r="C27" s="6"/>
      <c r="D27" s="22">
        <f>F27/B27</f>
        <v>0.22318198956706006</v>
      </c>
      <c r="E27" s="22"/>
      <c r="F27" s="165">
        <f>F9+F15+F21</f>
        <v>5834.557074413815</v>
      </c>
      <c r="J27" s="165">
        <f>J9+J15+J21</f>
        <v>9764.391047475112</v>
      </c>
      <c r="K27" s="22">
        <f>J27/B27</f>
        <v>0.37350499671052206</v>
      </c>
    </row>
    <row r="28" spans="1:11" ht="12.75" hidden="1">
      <c r="A28" s="21"/>
      <c r="B28" s="6"/>
      <c r="C28" s="6"/>
      <c r="D28" s="22"/>
      <c r="E28" s="22"/>
      <c r="F28" s="165"/>
      <c r="J28" s="165"/>
      <c r="K28" s="22"/>
    </row>
    <row r="29" spans="1:11" ht="12.75" hidden="1">
      <c r="A29" s="21" t="s">
        <v>191</v>
      </c>
      <c r="B29" s="133">
        <v>0</v>
      </c>
      <c r="C29" s="6"/>
      <c r="D29" s="22"/>
      <c r="E29" s="22"/>
      <c r="F29" s="165"/>
      <c r="J29" s="133">
        <v>0</v>
      </c>
      <c r="K29" s="22"/>
    </row>
    <row r="30" spans="1:11" ht="12.75" hidden="1">
      <c r="A30" s="21"/>
      <c r="B30" s="133">
        <v>0</v>
      </c>
      <c r="C30" s="6"/>
      <c r="D30" s="22"/>
      <c r="E30" s="22"/>
      <c r="F30" s="165"/>
      <c r="J30" s="133">
        <v>0</v>
      </c>
      <c r="K30" s="22"/>
    </row>
    <row r="31" spans="1:11" ht="12.75" hidden="1">
      <c r="A31" s="21"/>
      <c r="B31" s="133">
        <v>0</v>
      </c>
      <c r="C31" s="6"/>
      <c r="D31" s="22"/>
      <c r="E31" s="22"/>
      <c r="F31" s="165"/>
      <c r="J31" s="133">
        <v>0</v>
      </c>
      <c r="K31" s="22"/>
    </row>
    <row r="32" spans="1:6" ht="12.75">
      <c r="A32" s="283"/>
      <c r="B32" s="283"/>
      <c r="C32" s="283"/>
      <c r="D32" s="283"/>
      <c r="E32" s="283"/>
      <c r="F32" s="283"/>
    </row>
    <row r="33" spans="1:11" ht="12.75">
      <c r="A33" s="47" t="s">
        <v>235</v>
      </c>
      <c r="K33" s="22"/>
    </row>
    <row r="34" ht="12.75">
      <c r="A34" s="25" t="s">
        <v>796</v>
      </c>
    </row>
    <row r="35" ht="12.75">
      <c r="A35" s="25" t="s">
        <v>795</v>
      </c>
    </row>
    <row r="36" ht="12.75">
      <c r="A36" s="12" t="s">
        <v>798</v>
      </c>
    </row>
    <row r="37" ht="12.75">
      <c r="A37" s="12" t="s">
        <v>799</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codeName="Sheet36">
    <pageSetUpPr fitToPage="1"/>
  </sheetPr>
  <dimension ref="A1:S93"/>
  <sheetViews>
    <sheetView zoomScale="70" zoomScaleNormal="70" zoomScalePageLayoutView="0" workbookViewId="0" topLeftCell="A1">
      <selection activeCell="A1" sqref="A1"/>
    </sheetView>
  </sheetViews>
  <sheetFormatPr defaultColWidth="9.140625" defaultRowHeight="12.75"/>
  <cols>
    <col min="1" max="1" width="25.8515625" style="11" customWidth="1"/>
    <col min="2" max="5" width="12.7109375" style="11" customWidth="1"/>
    <col min="6" max="6" width="2.7109375" style="11" customWidth="1"/>
    <col min="7" max="7" width="12.7109375" style="11" customWidth="1"/>
    <col min="8" max="8" width="2.7109375" style="11" customWidth="1"/>
    <col min="9" max="10" width="12.7109375" style="11" customWidth="1"/>
    <col min="11" max="16384" width="9.140625" style="11" customWidth="1"/>
  </cols>
  <sheetData>
    <row r="1" ht="15.75">
      <c r="A1" s="158" t="s">
        <v>558</v>
      </c>
    </row>
    <row r="2" spans="1:7" ht="15.75">
      <c r="A2" s="158" t="s">
        <v>787</v>
      </c>
      <c r="B2" s="36"/>
      <c r="C2" s="36"/>
      <c r="D2" s="36"/>
      <c r="E2" s="36"/>
      <c r="F2" s="36"/>
      <c r="G2" s="36"/>
    </row>
    <row r="3" spans="1:10" s="4" customFormat="1" ht="25.5">
      <c r="A3" s="11"/>
      <c r="B3" s="189" t="s">
        <v>248</v>
      </c>
      <c r="C3" s="189" t="s">
        <v>249</v>
      </c>
      <c r="D3" s="168" t="s">
        <v>250</v>
      </c>
      <c r="E3" s="169" t="s">
        <v>207</v>
      </c>
      <c r="F3" s="23"/>
      <c r="G3" s="160" t="s">
        <v>246</v>
      </c>
      <c r="H3" s="159"/>
      <c r="I3" s="160" t="s">
        <v>218</v>
      </c>
      <c r="J3" s="41" t="s">
        <v>133</v>
      </c>
    </row>
    <row r="4" spans="2:10" ht="12.75">
      <c r="B4" s="48"/>
      <c r="C4" s="48"/>
      <c r="D4" s="48"/>
      <c r="E4" s="48"/>
      <c r="F4" s="48"/>
      <c r="G4" s="23"/>
      <c r="H4" s="23"/>
      <c r="I4" s="196"/>
      <c r="J4" s="48"/>
    </row>
    <row r="5" ht="12.75">
      <c r="A5" s="49" t="s">
        <v>439</v>
      </c>
    </row>
    <row r="6" spans="1:10" ht="12.75">
      <c r="A6" s="81" t="s">
        <v>483</v>
      </c>
      <c r="B6" s="44">
        <v>6.628418361830223</v>
      </c>
      <c r="C6" s="46">
        <v>305.7474254507598</v>
      </c>
      <c r="D6" s="53">
        <v>70414.01539999999</v>
      </c>
      <c r="E6" s="83">
        <f aca="true" t="shared" si="0" ref="E6:E12">IF(ISERROR(C6/D6),"n/a",C6/D6)</f>
        <v>0.0043421387590794865</v>
      </c>
      <c r="G6" s="54">
        <v>1.5205589342948984</v>
      </c>
      <c r="I6" s="42">
        <f aca="true" t="shared" si="1" ref="I6:I11">C6*G6</f>
        <v>464.9069794068162</v>
      </c>
      <c r="J6" s="92">
        <f aca="true" t="shared" si="2" ref="J6:J12">IF(ISERROR(I6/D6),"n/a",I6/D6)</f>
        <v>0.006602477884066476</v>
      </c>
    </row>
    <row r="7" spans="1:10" ht="12.75">
      <c r="A7" s="81" t="s">
        <v>484</v>
      </c>
      <c r="B7" s="44">
        <v>2.1461868934389594</v>
      </c>
      <c r="C7" s="46">
        <v>98.99663560523061</v>
      </c>
      <c r="D7" s="53">
        <v>22799.049292984233</v>
      </c>
      <c r="E7" s="83">
        <f t="shared" si="0"/>
        <v>0.0043421387590794865</v>
      </c>
      <c r="G7" s="54">
        <v>1.5205589342948984</v>
      </c>
      <c r="I7" s="42">
        <f t="shared" si="1"/>
        <v>150.53021873466986</v>
      </c>
      <c r="J7" s="92">
        <f t="shared" si="2"/>
        <v>0.006602477884066478</v>
      </c>
    </row>
    <row r="8" spans="1:10" ht="12.75">
      <c r="A8" s="81" t="s">
        <v>485</v>
      </c>
      <c r="B8" s="44">
        <v>1.183206938324488</v>
      </c>
      <c r="C8" s="46">
        <v>54.577495779596404</v>
      </c>
      <c r="D8" s="53">
        <v>12569.2657024085</v>
      </c>
      <c r="E8" s="83">
        <f t="shared" si="0"/>
        <v>0.004342138759079487</v>
      </c>
      <c r="G8" s="54">
        <v>1.5205589342948984</v>
      </c>
      <c r="I8" s="42">
        <f t="shared" si="1"/>
        <v>82.98829881910743</v>
      </c>
      <c r="J8" s="92">
        <f t="shared" si="2"/>
        <v>0.006602477884066478</v>
      </c>
    </row>
    <row r="9" spans="1:19" ht="12.75">
      <c r="A9" s="81" t="s">
        <v>486</v>
      </c>
      <c r="B9" s="44">
        <v>100.10390505361059</v>
      </c>
      <c r="C9" s="46">
        <v>4617.468237061873</v>
      </c>
      <c r="D9" s="53">
        <v>889717.6605400661</v>
      </c>
      <c r="E9" s="83">
        <f t="shared" si="0"/>
        <v>0.005189812950615177</v>
      </c>
      <c r="G9" s="54">
        <v>1.5205589342948984</v>
      </c>
      <c r="I9" s="42">
        <f t="shared" si="1"/>
        <v>7021.132581687345</v>
      </c>
      <c r="J9" s="92">
        <f t="shared" si="2"/>
        <v>0.007891416449377277</v>
      </c>
      <c r="N9" s="140"/>
      <c r="O9" s="140"/>
      <c r="P9" s="140"/>
      <c r="Q9" s="140"/>
      <c r="R9" s="140"/>
      <c r="S9" s="140"/>
    </row>
    <row r="10" spans="1:10" ht="12.75">
      <c r="A10" s="81" t="s">
        <v>440</v>
      </c>
      <c r="B10" s="44">
        <v>7.781665333277274</v>
      </c>
      <c r="C10" s="46">
        <v>358.94296519811246</v>
      </c>
      <c r="D10" s="53">
        <v>82665.0148956103</v>
      </c>
      <c r="E10" s="83">
        <f t="shared" si="0"/>
        <v>0.004342138759079486</v>
      </c>
      <c r="G10" s="54">
        <v>1.5205589342948984</v>
      </c>
      <c r="I10" s="42">
        <f t="shared" si="1"/>
        <v>545.7939326342927</v>
      </c>
      <c r="J10" s="92">
        <f t="shared" si="2"/>
        <v>0.006602477884066475</v>
      </c>
    </row>
    <row r="11" spans="1:10" ht="12.75">
      <c r="A11" s="81" t="s">
        <v>441</v>
      </c>
      <c r="B11" s="44">
        <v>27.59917669621507</v>
      </c>
      <c r="C11" s="46">
        <v>1273.0604435019975</v>
      </c>
      <c r="D11" s="53">
        <v>293187.4161874735</v>
      </c>
      <c r="E11" s="83">
        <f t="shared" si="0"/>
        <v>0.004342138759079487</v>
      </c>
      <c r="G11" s="54">
        <v>1.5205589342948984</v>
      </c>
      <c r="I11" s="42">
        <f t="shared" si="1"/>
        <v>1935.7634312643881</v>
      </c>
      <c r="J11" s="92">
        <f t="shared" si="2"/>
        <v>0.006602477884066479</v>
      </c>
    </row>
    <row r="12" spans="1:10" ht="12.75">
      <c r="A12" s="81" t="s">
        <v>444</v>
      </c>
      <c r="B12" s="44">
        <f>SUM(B6:B11)</f>
        <v>145.4425592766966</v>
      </c>
      <c r="C12" s="46">
        <f>SUM(C6:C11)</f>
        <v>6708.793202597571</v>
      </c>
      <c r="D12" s="53">
        <f>SUM(D6:D11)</f>
        <v>1371352.4220185427</v>
      </c>
      <c r="E12" s="83">
        <f t="shared" si="0"/>
        <v>0.004892100013738743</v>
      </c>
      <c r="I12" s="52">
        <f>SUM(I6:I11)</f>
        <v>10201.11544254662</v>
      </c>
      <c r="J12" s="92">
        <f t="shared" si="2"/>
        <v>0.007438726383354639</v>
      </c>
    </row>
    <row r="13" spans="2:4" ht="12.75">
      <c r="B13" s="44"/>
      <c r="C13" s="46"/>
      <c r="D13" s="53"/>
    </row>
    <row r="14" spans="1:4" ht="12.75">
      <c r="A14" s="49" t="s">
        <v>442</v>
      </c>
      <c r="B14" s="44"/>
      <c r="C14" s="46"/>
      <c r="D14" s="53"/>
    </row>
    <row r="15" spans="1:10" ht="12.75">
      <c r="A15" s="81" t="s">
        <v>276</v>
      </c>
      <c r="B15" s="44">
        <v>56.4468403998749</v>
      </c>
      <c r="C15" s="46">
        <v>2603.709540495317</v>
      </c>
      <c r="D15" s="53">
        <v>39514.730292652945</v>
      </c>
      <c r="E15" s="83">
        <f aca="true" t="shared" si="3" ref="E15:E21">IF(ISERROR(C15/D15),"n/a",C15/D15)</f>
        <v>0.06589212481552557</v>
      </c>
      <c r="G15" s="54">
        <v>1.5205589342948984</v>
      </c>
      <c r="I15" s="42">
        <f aca="true" t="shared" si="4" ref="I15:I20">C15*G15</f>
        <v>3959.093804109019</v>
      </c>
      <c r="J15" s="92">
        <f aca="true" t="shared" si="5" ref="J15:J21">IF(ISERROR(I15/D15),"n/a",I15/D15)</f>
        <v>0.10019285908792198</v>
      </c>
    </row>
    <row r="16" spans="1:10" ht="12.75">
      <c r="A16" s="81" t="s">
        <v>280</v>
      </c>
      <c r="B16" s="44">
        <v>33.0361208784989</v>
      </c>
      <c r="C16" s="46">
        <v>1523.8490321682336</v>
      </c>
      <c r="D16" s="53">
        <v>17725.741559334063</v>
      </c>
      <c r="E16" s="83">
        <f t="shared" si="3"/>
        <v>0.08596814001080827</v>
      </c>
      <c r="G16" s="54">
        <v>1.5205589342948984</v>
      </c>
      <c r="I16" s="42">
        <f t="shared" si="4"/>
        <v>2317.1022603800416</v>
      </c>
      <c r="J16" s="92">
        <f t="shared" si="5"/>
        <v>0.13071962335814924</v>
      </c>
    </row>
    <row r="17" spans="1:10" ht="12.75">
      <c r="A17" s="81" t="s">
        <v>440</v>
      </c>
      <c r="B17" s="44">
        <v>0</v>
      </c>
      <c r="C17" s="46">
        <v>0</v>
      </c>
      <c r="D17" s="53">
        <v>0</v>
      </c>
      <c r="E17" s="83" t="str">
        <f t="shared" si="3"/>
        <v>n/a</v>
      </c>
      <c r="G17" s="54">
        <v>1.5205589342948984</v>
      </c>
      <c r="I17" s="42">
        <f t="shared" si="4"/>
        <v>0</v>
      </c>
      <c r="J17" s="92" t="str">
        <f t="shared" si="5"/>
        <v>n/a</v>
      </c>
    </row>
    <row r="18" spans="1:10" ht="12.75">
      <c r="A18" s="81" t="s">
        <v>441</v>
      </c>
      <c r="B18" s="44">
        <v>0</v>
      </c>
      <c r="C18" s="46">
        <v>0</v>
      </c>
      <c r="D18" s="53">
        <v>0</v>
      </c>
      <c r="E18" s="83" t="str">
        <f t="shared" si="3"/>
        <v>n/a</v>
      </c>
      <c r="G18" s="54">
        <v>1.5205589342948984</v>
      </c>
      <c r="I18" s="42">
        <f t="shared" si="4"/>
        <v>0</v>
      </c>
      <c r="J18" s="92" t="str">
        <f t="shared" si="5"/>
        <v>n/a</v>
      </c>
    </row>
    <row r="19" spans="1:10" ht="12.75">
      <c r="A19" s="81" t="s">
        <v>443</v>
      </c>
      <c r="B19" s="44">
        <v>0.21773843348898067</v>
      </c>
      <c r="C19" s="46">
        <v>10.043567232312622</v>
      </c>
      <c r="D19" s="53">
        <v>349.1262896848527</v>
      </c>
      <c r="E19" s="83">
        <f t="shared" si="3"/>
        <v>0.02876771967352757</v>
      </c>
      <c r="G19" s="54">
        <v>1.5205589342948984</v>
      </c>
      <c r="I19" s="42">
        <f t="shared" si="4"/>
        <v>15.271835887284443</v>
      </c>
      <c r="J19" s="92">
        <f t="shared" si="5"/>
        <v>0.04374301316887346</v>
      </c>
    </row>
    <row r="20" spans="1:10" ht="12.75">
      <c r="A20" s="81" t="s">
        <v>230</v>
      </c>
      <c r="B20" s="44">
        <v>411.21702508602834</v>
      </c>
      <c r="C20" s="46">
        <v>17553.004324309662</v>
      </c>
      <c r="D20" s="53">
        <v>1626481.0889682511</v>
      </c>
      <c r="E20" s="83">
        <f t="shared" si="3"/>
        <v>0.010792012549893407</v>
      </c>
      <c r="G20" s="54">
        <v>1.5205589342948984</v>
      </c>
      <c r="I20" s="42">
        <f t="shared" si="4"/>
        <v>26690.377549046043</v>
      </c>
      <c r="J20" s="92">
        <f t="shared" si="5"/>
        <v>0.01640989110176309</v>
      </c>
    </row>
    <row r="21" spans="1:10" ht="12.75">
      <c r="A21" s="81" t="s">
        <v>445</v>
      </c>
      <c r="B21" s="44">
        <f>SUM(B15:B20)</f>
        <v>500.91772479789114</v>
      </c>
      <c r="C21" s="46">
        <f>SUM(C15:C20)</f>
        <v>21690.606464205528</v>
      </c>
      <c r="D21" s="53">
        <f>SUM(D15:D20)</f>
        <v>1684070.687109923</v>
      </c>
      <c r="E21" s="83">
        <f t="shared" si="3"/>
        <v>0.012879866997405754</v>
      </c>
      <c r="I21" s="52">
        <f>SUM(I15:I20)</f>
        <v>32981.845449422384</v>
      </c>
      <c r="J21" s="92">
        <f t="shared" si="5"/>
        <v>0.01958459683543532</v>
      </c>
    </row>
    <row r="22" spans="2:4" ht="12.75">
      <c r="B22" s="44"/>
      <c r="C22" s="46"/>
      <c r="D22" s="53"/>
    </row>
    <row r="23" spans="1:4" ht="12.75">
      <c r="A23" s="15" t="s">
        <v>446</v>
      </c>
      <c r="B23" s="44"/>
      <c r="C23" s="46"/>
      <c r="D23" s="53"/>
    </row>
    <row r="24" spans="1:10" ht="12.75">
      <c r="A24" s="81" t="s">
        <v>276</v>
      </c>
      <c r="B24" s="44">
        <v>16.25540230387401</v>
      </c>
      <c r="C24" s="46">
        <v>988.3895710024979</v>
      </c>
      <c r="D24" s="53">
        <v>3469.4962184673745</v>
      </c>
      <c r="E24" s="83">
        <f aca="true" t="shared" si="6" ref="E24:E30">IF(ISERROR(C24/D24),"n/a",C24/D24)</f>
        <v>0.28487985251043507</v>
      </c>
      <c r="G24" s="54">
        <v>1.5205589342948984</v>
      </c>
      <c r="I24" s="42">
        <f aca="true" t="shared" si="7" ref="I24:I29">C24*G24</f>
        <v>1502.90459275175</v>
      </c>
      <c r="J24" s="92">
        <f aca="true" t="shared" si="8" ref="J24:J30">IF(ISERROR(I24/D24),"n/a",I24/D24)</f>
        <v>0.433176604935355</v>
      </c>
    </row>
    <row r="25" spans="1:10" ht="12.75">
      <c r="A25" s="81" t="s">
        <v>280</v>
      </c>
      <c r="B25" s="44">
        <v>150.90804894621454</v>
      </c>
      <c r="C25" s="46">
        <v>10996.424310601858</v>
      </c>
      <c r="D25" s="53">
        <v>33420.18535484203</v>
      </c>
      <c r="E25" s="83">
        <f t="shared" si="6"/>
        <v>0.3290354076090921</v>
      </c>
      <c r="G25" s="54">
        <v>1.5205589342948984</v>
      </c>
      <c r="I25" s="42">
        <f t="shared" si="7"/>
        <v>16720.711230783276</v>
      </c>
      <c r="J25" s="92">
        <f t="shared" si="8"/>
        <v>0.5003177287393686</v>
      </c>
    </row>
    <row r="26" spans="1:10" ht="12.75">
      <c r="A26" s="81" t="s">
        <v>440</v>
      </c>
      <c r="B26" s="44">
        <v>44.86918249906764</v>
      </c>
      <c r="C26" s="46">
        <v>2483.9870629394945</v>
      </c>
      <c r="D26" s="53">
        <v>7862.796510100412</v>
      </c>
      <c r="E26" s="83">
        <f t="shared" si="6"/>
        <v>0.31591648845911346</v>
      </c>
      <c r="G26" s="54">
        <v>1.5205589342948984</v>
      </c>
      <c r="I26" s="42">
        <f t="shared" si="7"/>
        <v>3777.0487212255925</v>
      </c>
      <c r="J26" s="92">
        <f t="shared" si="8"/>
        <v>0.4803696390175762</v>
      </c>
    </row>
    <row r="27" spans="1:10" ht="12.75">
      <c r="A27" s="81" t="s">
        <v>441</v>
      </c>
      <c r="B27" s="44">
        <v>82.11928360539413</v>
      </c>
      <c r="C27" s="46">
        <v>7399.774874018487</v>
      </c>
      <c r="D27" s="53">
        <v>33807.229672405396</v>
      </c>
      <c r="E27" s="83">
        <f t="shared" si="6"/>
        <v>0.21888143292789333</v>
      </c>
      <c r="G27" s="54">
        <v>1.5205589342948984</v>
      </c>
      <c r="I27" s="42">
        <f t="shared" si="7"/>
        <v>11251.793796459717</v>
      </c>
      <c r="J27" s="92">
        <f t="shared" si="8"/>
        <v>0.33282211838977777</v>
      </c>
    </row>
    <row r="28" spans="1:10" ht="12.75">
      <c r="A28" s="81" t="s">
        <v>443</v>
      </c>
      <c r="B28" s="44">
        <v>0.8479473859491059</v>
      </c>
      <c r="C28" s="46">
        <v>69.95983967384832</v>
      </c>
      <c r="D28" s="53">
        <v>604.2739139612121</v>
      </c>
      <c r="E28" s="83">
        <f t="shared" si="6"/>
        <v>0.1157750451533458</v>
      </c>
      <c r="G28" s="54">
        <v>1.5205589342948984</v>
      </c>
      <c r="I28" s="42">
        <f t="shared" si="7"/>
        <v>106.37805925790876</v>
      </c>
      <c r="J28" s="92">
        <f t="shared" si="8"/>
        <v>0.17604277927631523</v>
      </c>
    </row>
    <row r="29" spans="1:10" ht="12.75">
      <c r="A29" s="81" t="s">
        <v>230</v>
      </c>
      <c r="B29" s="44">
        <v>193.13091342661292</v>
      </c>
      <c r="C29" s="46">
        <v>8243.889605071685</v>
      </c>
      <c r="D29" s="53">
        <v>430807.9188025516</v>
      </c>
      <c r="E29" s="83">
        <f t="shared" si="6"/>
        <v>0.01913588224651468</v>
      </c>
      <c r="G29" s="54">
        <v>1.5205589342948984</v>
      </c>
      <c r="I29" s="42">
        <f t="shared" si="7"/>
        <v>12535.319992332592</v>
      </c>
      <c r="J29" s="92">
        <f t="shared" si="8"/>
        <v>0.02909723671555303</v>
      </c>
    </row>
    <row r="30" spans="1:10" ht="12.75">
      <c r="A30" s="82" t="s">
        <v>447</v>
      </c>
      <c r="B30" s="44">
        <f>SUM(B24:B29)</f>
        <v>488.13077816711234</v>
      </c>
      <c r="C30" s="46">
        <f>SUM(C24:C29)</f>
        <v>30182.425263307872</v>
      </c>
      <c r="D30" s="53">
        <f>SUM(D24:D29)</f>
        <v>509971.900472328</v>
      </c>
      <c r="E30" s="83">
        <f t="shared" si="6"/>
        <v>0.05918448690085352</v>
      </c>
      <c r="I30" s="52">
        <f>SUM(I24:I29)</f>
        <v>45894.15639281084</v>
      </c>
      <c r="J30" s="92">
        <f t="shared" si="8"/>
        <v>0.08999350032875221</v>
      </c>
    </row>
    <row r="31" spans="2:4" ht="12.75">
      <c r="B31" s="44"/>
      <c r="C31" s="46"/>
      <c r="D31" s="53"/>
    </row>
    <row r="32" spans="1:4" ht="12.75">
      <c r="A32" s="49" t="s">
        <v>435</v>
      </c>
      <c r="B32" s="44"/>
      <c r="C32" s="46"/>
      <c r="D32" s="53"/>
    </row>
    <row r="33" spans="1:11" ht="12.75">
      <c r="A33" s="81" t="s">
        <v>280</v>
      </c>
      <c r="B33" s="44">
        <v>84.26760324379362</v>
      </c>
      <c r="C33" s="46">
        <v>3886.991033797984</v>
      </c>
      <c r="D33" s="53">
        <v>45576.37065683387</v>
      </c>
      <c r="E33" s="83">
        <f aca="true" t="shared" si="9" ref="E33:E38">IF(ISERROR(C33/D33),"n/a",C33/D33)</f>
        <v>0.08528522516777357</v>
      </c>
      <c r="G33" s="54">
        <v>1.5205589342948984</v>
      </c>
      <c r="I33" s="42">
        <f>C33*G33</f>
        <v>5910.398943965688</v>
      </c>
      <c r="J33" s="92">
        <f aca="true" t="shared" si="10" ref="J33:J40">IF(ISERROR(I33/D33),"n/a",I33/D33)</f>
        <v>0.1296812110922102</v>
      </c>
      <c r="K33" s="25"/>
    </row>
    <row r="34" spans="1:10" ht="12.75">
      <c r="A34" s="81" t="s">
        <v>440</v>
      </c>
      <c r="B34" s="44">
        <v>0</v>
      </c>
      <c r="C34" s="46">
        <v>0</v>
      </c>
      <c r="D34" s="53">
        <v>0</v>
      </c>
      <c r="E34" s="83" t="str">
        <f t="shared" si="9"/>
        <v>n/a</v>
      </c>
      <c r="G34" s="54">
        <v>1.5205589342948984</v>
      </c>
      <c r="I34" s="42">
        <f>C34*G34</f>
        <v>0</v>
      </c>
      <c r="J34" s="92" t="str">
        <f t="shared" si="10"/>
        <v>n/a</v>
      </c>
    </row>
    <row r="35" spans="1:10" ht="12.75">
      <c r="A35" s="81" t="s">
        <v>441</v>
      </c>
      <c r="B35" s="44">
        <v>0</v>
      </c>
      <c r="C35" s="46">
        <v>0</v>
      </c>
      <c r="D35" s="53">
        <v>0</v>
      </c>
      <c r="E35" s="83" t="str">
        <f t="shared" si="9"/>
        <v>n/a</v>
      </c>
      <c r="G35" s="54">
        <v>1.5205589342948984</v>
      </c>
      <c r="I35" s="42">
        <f>C35*G35</f>
        <v>0</v>
      </c>
      <c r="J35" s="92" t="str">
        <f t="shared" si="10"/>
        <v>n/a</v>
      </c>
    </row>
    <row r="36" spans="1:10" ht="12.75">
      <c r="A36" s="81" t="s">
        <v>443</v>
      </c>
      <c r="B36" s="44">
        <v>0</v>
      </c>
      <c r="C36" s="46">
        <v>0</v>
      </c>
      <c r="D36" s="53">
        <v>0</v>
      </c>
      <c r="E36" s="83" t="str">
        <f t="shared" si="9"/>
        <v>n/a</v>
      </c>
      <c r="G36" s="54">
        <v>1.5205589342948984</v>
      </c>
      <c r="I36" s="42">
        <f>C36*G36</f>
        <v>0</v>
      </c>
      <c r="J36" s="92" t="str">
        <f t="shared" si="10"/>
        <v>n/a</v>
      </c>
    </row>
    <row r="37" spans="1:10" ht="12.75">
      <c r="A37" s="81" t="s">
        <v>230</v>
      </c>
      <c r="B37" s="44">
        <v>7.8589218333084485</v>
      </c>
      <c r="C37" s="46">
        <v>335.46200791568776</v>
      </c>
      <c r="D37" s="53">
        <v>31084.28630570867</v>
      </c>
      <c r="E37" s="83">
        <f t="shared" si="9"/>
        <v>0.010792012549893409</v>
      </c>
      <c r="G37" s="54">
        <v>1.5205589342948984</v>
      </c>
      <c r="I37" s="42">
        <f>C37*G37</f>
        <v>510.08975325270495</v>
      </c>
      <c r="J37" s="92">
        <f t="shared" si="10"/>
        <v>0.01640989110176309</v>
      </c>
    </row>
    <row r="38" spans="1:10" ht="12.75">
      <c r="A38" s="82" t="s">
        <v>448</v>
      </c>
      <c r="B38" s="44">
        <f>SUM(B33:B37)</f>
        <v>92.12652507710206</v>
      </c>
      <c r="C38" s="46">
        <f>SUM(C33:C37)</f>
        <v>4222.453041713672</v>
      </c>
      <c r="D38" s="53">
        <f>SUM(D33:D37)</f>
        <v>76660.65696254253</v>
      </c>
      <c r="E38" s="83">
        <f t="shared" si="9"/>
        <v>0.0550797920213079</v>
      </c>
      <c r="I38" s="52">
        <f>SUM(I33:I37)</f>
        <v>6420.488697218393</v>
      </c>
      <c r="J38" s="92">
        <f t="shared" si="10"/>
        <v>0.08375206985710458</v>
      </c>
    </row>
    <row r="39" spans="2:3" ht="12.75">
      <c r="B39" s="44"/>
      <c r="C39" s="46"/>
    </row>
    <row r="40" spans="1:10" ht="12.75">
      <c r="A40" s="49" t="s">
        <v>419</v>
      </c>
      <c r="B40" s="44">
        <f>SUM(B12,B21,B30,B38)</f>
        <v>1226.6175873188022</v>
      </c>
      <c r="C40" s="46">
        <f>SUM(C12,C21,C30,C38)</f>
        <v>62804.277971824646</v>
      </c>
      <c r="D40" s="53">
        <f>SUM(D12,D21,D30,D38)</f>
        <v>3642055.6665633363</v>
      </c>
      <c r="E40" s="83">
        <f>IF(ISERROR(C40/D40),"n/a",C40/D40)</f>
        <v>0.01724418397785971</v>
      </c>
      <c r="I40" s="46">
        <f>SUM(I12,I21,I30,I38)</f>
        <v>95497.60598199823</v>
      </c>
      <c r="J40" s="92">
        <f t="shared" si="10"/>
        <v>0.026220798012159516</v>
      </c>
    </row>
    <row r="41" ht="12.75" hidden="1"/>
    <row r="42" ht="12.75" hidden="1">
      <c r="D42" s="53"/>
    </row>
    <row r="43" spans="1:10" ht="12.75" hidden="1">
      <c r="A43" s="48" t="s">
        <v>191</v>
      </c>
      <c r="B43" s="138">
        <v>0</v>
      </c>
      <c r="C43" s="138">
        <v>0</v>
      </c>
      <c r="D43" s="138">
        <v>0</v>
      </c>
      <c r="I43" s="138">
        <f>I40/C40-G37</f>
        <v>0</v>
      </c>
      <c r="J43" s="138">
        <f>J40/E40-G37</f>
        <v>0</v>
      </c>
    </row>
    <row r="44" spans="2:4" ht="12.75" hidden="1">
      <c r="B44" s="138">
        <v>0</v>
      </c>
      <c r="C44" s="138">
        <v>0</v>
      </c>
      <c r="D44" s="138">
        <v>0</v>
      </c>
    </row>
    <row r="45" spans="2:4" ht="12.75" hidden="1">
      <c r="B45" s="138">
        <v>0</v>
      </c>
      <c r="C45" s="138">
        <v>0</v>
      </c>
      <c r="D45" s="138">
        <v>0</v>
      </c>
    </row>
    <row r="46" spans="2:4" ht="12.75" hidden="1">
      <c r="B46" s="138">
        <v>0</v>
      </c>
      <c r="C46" s="138">
        <v>0</v>
      </c>
      <c r="D46" s="138">
        <v>0</v>
      </c>
    </row>
    <row r="47" spans="2:4" ht="12.75" hidden="1">
      <c r="B47" s="138">
        <v>0</v>
      </c>
      <c r="C47" s="138">
        <v>0</v>
      </c>
      <c r="D47" s="138">
        <v>0</v>
      </c>
    </row>
    <row r="48" spans="3:4" ht="12.75" hidden="1">
      <c r="C48" s="138">
        <v>1.2732925824820995E-11</v>
      </c>
      <c r="D48" s="138">
        <v>-2.0372681319713593E-10</v>
      </c>
    </row>
    <row r="49" spans="1:4" ht="12.75">
      <c r="A49" s="141"/>
      <c r="B49" s="141"/>
      <c r="C49" s="141"/>
      <c r="D49" s="141"/>
    </row>
    <row r="50" ht="12.75">
      <c r="A50" s="11" t="s">
        <v>235</v>
      </c>
    </row>
    <row r="51" spans="1:5" ht="12.75">
      <c r="A51" s="25" t="s">
        <v>800</v>
      </c>
      <c r="E51" s="442"/>
    </row>
    <row r="52" ht="12.75">
      <c r="A52" s="25" t="s">
        <v>795</v>
      </c>
    </row>
    <row r="53" ht="12.75">
      <c r="D53" s="53"/>
    </row>
    <row r="54" ht="12.75">
      <c r="D54" s="53"/>
    </row>
    <row r="55" ht="12.75">
      <c r="D55" s="53"/>
    </row>
    <row r="56" ht="12.75">
      <c r="D56" s="53"/>
    </row>
    <row r="57" ht="12.75">
      <c r="D57" s="53"/>
    </row>
    <row r="58" ht="12.75">
      <c r="D58" s="53"/>
    </row>
    <row r="59" ht="12.75">
      <c r="D59" s="53"/>
    </row>
    <row r="60" ht="12.75">
      <c r="D60" s="53"/>
    </row>
    <row r="61" ht="12.75">
      <c r="D61" s="53"/>
    </row>
    <row r="62" ht="12.75">
      <c r="D62" s="53"/>
    </row>
    <row r="63" ht="12.75">
      <c r="D63" s="53"/>
    </row>
    <row r="64" ht="12.75">
      <c r="D64" s="53"/>
    </row>
    <row r="65" ht="12.75">
      <c r="D65" s="53"/>
    </row>
    <row r="66" ht="12.75">
      <c r="D66" s="53"/>
    </row>
    <row r="67" ht="12.75">
      <c r="D67" s="53"/>
    </row>
    <row r="68" ht="12.75">
      <c r="D68" s="53"/>
    </row>
    <row r="69" ht="12.75">
      <c r="D69" s="53"/>
    </row>
    <row r="70" ht="12.75">
      <c r="D70" s="53"/>
    </row>
    <row r="71" ht="12.75">
      <c r="D71" s="53"/>
    </row>
    <row r="72" ht="12.75">
      <c r="D72" s="53"/>
    </row>
    <row r="73" ht="12.75">
      <c r="D73" s="53"/>
    </row>
    <row r="74" ht="12.75">
      <c r="D74" s="53"/>
    </row>
    <row r="75" ht="12.75">
      <c r="D75" s="53"/>
    </row>
    <row r="76" ht="12.75">
      <c r="D76" s="53"/>
    </row>
    <row r="77" ht="12.75">
      <c r="D77" s="53"/>
    </row>
    <row r="78" ht="12.75">
      <c r="D78" s="53"/>
    </row>
    <row r="79" ht="12.75">
      <c r="D79" s="53"/>
    </row>
    <row r="80" ht="12.75">
      <c r="D80" s="53"/>
    </row>
    <row r="81" ht="12.75">
      <c r="D81" s="53"/>
    </row>
    <row r="82" ht="12.75">
      <c r="D82" s="53"/>
    </row>
    <row r="83" ht="12.75">
      <c r="D83" s="53"/>
    </row>
    <row r="84" ht="12.75">
      <c r="D84" s="53"/>
    </row>
    <row r="85" ht="12.75">
      <c r="D85" s="53"/>
    </row>
    <row r="86" ht="12.75">
      <c r="D86" s="53"/>
    </row>
    <row r="87" ht="12.75">
      <c r="D87" s="53"/>
    </row>
    <row r="88" ht="12.75">
      <c r="D88" s="53"/>
    </row>
    <row r="89" ht="12.75">
      <c r="D89" s="53"/>
    </row>
    <row r="90" ht="12.75">
      <c r="D90" s="53"/>
    </row>
    <row r="91" ht="12.75">
      <c r="D91" s="53"/>
    </row>
    <row r="92" ht="12.75">
      <c r="D92" s="53"/>
    </row>
    <row r="93" ht="12.75">
      <c r="D93" s="53"/>
    </row>
  </sheetData>
  <sheetProtection/>
  <printOptions horizontalCentered="1"/>
  <pageMargins left="0.75" right="0.75" top="1" bottom="1" header="0.5" footer="0.5"/>
  <pageSetup fitToHeight="1" fitToWidth="1" horizontalDpi="600" verticalDpi="600" orientation="landscape" scale="8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Y85"/>
  <sheetViews>
    <sheetView zoomScale="70" zoomScaleNormal="70" zoomScalePageLayoutView="0" workbookViewId="0" topLeftCell="A1">
      <selection activeCell="A1" sqref="A1"/>
    </sheetView>
  </sheetViews>
  <sheetFormatPr defaultColWidth="9.140625" defaultRowHeight="12.75"/>
  <cols>
    <col min="1" max="1" width="0.85546875" style="0" customWidth="1"/>
    <col min="2" max="2" width="25.140625" style="0" customWidth="1"/>
    <col min="3" max="3" width="14.00390625" style="0" customWidth="1"/>
    <col min="4" max="4" width="16.421875" style="0" customWidth="1"/>
    <col min="5" max="6" width="10.7109375" style="0" customWidth="1"/>
    <col min="7" max="7" width="8.7109375" style="0" customWidth="1"/>
    <col min="8" max="9" width="10.7109375" style="0" customWidth="1"/>
    <col min="10" max="10" width="8.7109375" style="0" customWidth="1"/>
    <col min="11" max="12" width="10.7109375" style="0" customWidth="1"/>
    <col min="13" max="13" width="8.7109375" style="0" customWidth="1"/>
    <col min="16" max="16" width="10.00390625" style="0" bestFit="1" customWidth="1"/>
    <col min="22" max="22" width="10.140625" style="0" bestFit="1" customWidth="1"/>
  </cols>
  <sheetData>
    <row r="1" spans="2:4" ht="15.75">
      <c r="B1" s="158" t="s">
        <v>237</v>
      </c>
      <c r="C1" s="158"/>
      <c r="D1" s="158"/>
    </row>
    <row r="2" ht="16.5" thickBot="1">
      <c r="B2" s="158" t="s">
        <v>787</v>
      </c>
    </row>
    <row r="3" spans="2:13" ht="15.75" customHeight="1">
      <c r="B3" s="373" t="s">
        <v>528</v>
      </c>
      <c r="C3" s="374"/>
      <c r="D3" s="374"/>
      <c r="E3" s="375"/>
      <c r="F3" s="375"/>
      <c r="G3" s="375"/>
      <c r="H3" s="375"/>
      <c r="I3" s="375"/>
      <c r="J3" s="375"/>
      <c r="K3" s="375"/>
      <c r="L3" s="375"/>
      <c r="M3" s="376"/>
    </row>
    <row r="4" spans="2:13" ht="15.75">
      <c r="B4" s="427"/>
      <c r="C4" s="5"/>
      <c r="D4" s="5"/>
      <c r="E4" s="148" t="s">
        <v>348</v>
      </c>
      <c r="F4" s="395"/>
      <c r="G4" s="395"/>
      <c r="H4" s="395"/>
      <c r="I4" s="395"/>
      <c r="J4" s="395"/>
      <c r="K4" s="395"/>
      <c r="L4" s="395"/>
      <c r="M4" s="397"/>
    </row>
    <row r="5" spans="2:13" ht="12.75">
      <c r="B5" s="378"/>
      <c r="C5" s="5"/>
      <c r="D5" s="5"/>
      <c r="E5" s="148" t="s">
        <v>334</v>
      </c>
      <c r="F5" s="395"/>
      <c r="G5" s="396"/>
      <c r="H5" s="148" t="s">
        <v>345</v>
      </c>
      <c r="I5" s="395"/>
      <c r="J5" s="396"/>
      <c r="K5" s="148" t="s">
        <v>346</v>
      </c>
      <c r="L5" s="395"/>
      <c r="M5" s="397"/>
    </row>
    <row r="6" spans="2:13" ht="12.75">
      <c r="B6" s="378"/>
      <c r="C6" s="91"/>
      <c r="D6" s="91"/>
      <c r="E6" s="371" t="s">
        <v>324</v>
      </c>
      <c r="F6" s="392" t="s">
        <v>103</v>
      </c>
      <c r="G6" s="372" t="s">
        <v>329</v>
      </c>
      <c r="H6" s="371" t="s">
        <v>324</v>
      </c>
      <c r="I6" s="392" t="s">
        <v>103</v>
      </c>
      <c r="J6" s="372" t="s">
        <v>329</v>
      </c>
      <c r="K6" s="371" t="s">
        <v>324</v>
      </c>
      <c r="L6" s="392" t="s">
        <v>103</v>
      </c>
      <c r="M6" s="398" t="s">
        <v>329</v>
      </c>
    </row>
    <row r="7" spans="2:13" ht="12.75">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ht="12.75">
      <c r="B8" s="382" t="s">
        <v>316</v>
      </c>
      <c r="C8" s="327" t="s">
        <v>322</v>
      </c>
      <c r="D8" s="327" t="s">
        <v>331</v>
      </c>
      <c r="E8" s="403">
        <f>SUM('Table 3.3-PARS Fwd Summary'!F13)</f>
        <v>4920.6521482229255</v>
      </c>
      <c r="F8" s="361"/>
      <c r="G8" s="247"/>
      <c r="H8" s="403">
        <f>SUM('Table 3.6-PARS RTS Summary'!F21,'Table 3.6-PARS RTS Summary'!F31,'Table 3.6-PARS RTS Summary'!F52)</f>
        <v>70662.73946522104</v>
      </c>
      <c r="I8" s="361"/>
      <c r="J8" s="247"/>
      <c r="K8" s="403">
        <f>SUM('Table 3.9-PARS Wst Summary'!F21,'Table 3.9-PARS Wst Summary'!F39)</f>
        <v>21710.963748203223</v>
      </c>
      <c r="L8" s="361"/>
      <c r="M8" s="390"/>
      <c r="P8" s="485"/>
      <c r="Q8" s="151"/>
      <c r="R8" s="151"/>
      <c r="S8" s="485"/>
      <c r="T8" s="151"/>
      <c r="U8" s="151"/>
      <c r="V8" s="485"/>
      <c r="W8" s="151"/>
      <c r="X8" s="151"/>
      <c r="Y8" s="151"/>
    </row>
    <row r="9" spans="2:25" ht="12.75">
      <c r="B9" s="382" t="s">
        <v>318</v>
      </c>
      <c r="C9" s="327" t="s">
        <v>323</v>
      </c>
      <c r="D9" s="327" t="s">
        <v>347</v>
      </c>
      <c r="E9" s="404">
        <f>SUM('Table 3.3-PARS Fwd Summary'!F14)</f>
        <v>464.9069794068162</v>
      </c>
      <c r="F9" s="18"/>
      <c r="G9" s="369"/>
      <c r="H9" s="404">
        <f>SUM('Table 3.6-PARS RTS Summary'!F9,'Table 3.6-PARS RTS Summary'!F22,'Table 3.6-PARS RTS Summary'!F32,'Table 3.6-PARS RTS Summary'!F37,'Table 3.6-PARS RTS Summary'!F53)</f>
        <v>13627.855677021995</v>
      </c>
      <c r="I9" s="18"/>
      <c r="J9" s="369"/>
      <c r="K9" s="404">
        <f>SUM('Table 3.9-PARS Wst Summary'!F9,'Table 3.9-PARS Wst Summary'!F22,'Table 3.9-PARS Wst Summary'!F40)</f>
        <v>2528.8414833362003</v>
      </c>
      <c r="L9" s="18"/>
      <c r="M9" s="377"/>
      <c r="P9" s="485"/>
      <c r="Q9" s="151"/>
      <c r="R9" s="151"/>
      <c r="S9" s="485"/>
      <c r="T9" s="151"/>
      <c r="U9" s="151"/>
      <c r="V9" s="485"/>
      <c r="W9" s="151"/>
      <c r="X9" s="151"/>
      <c r="Y9" s="151"/>
    </row>
    <row r="10" spans="2:25" ht="12.75" customHeight="1">
      <c r="B10" s="382" t="s">
        <v>319</v>
      </c>
      <c r="C10" s="327" t="s">
        <v>323</v>
      </c>
      <c r="D10" s="327" t="s">
        <v>349</v>
      </c>
      <c r="E10" s="404">
        <f>SUM('Table 3.3-PARS Fwd Summary'!F9,'Table 3.3-PARS Fwd Summary'!F19)</f>
        <v>8747.456029386414</v>
      </c>
      <c r="F10" s="18"/>
      <c r="G10" s="369"/>
      <c r="H10" s="404">
        <f>SUM('Table 3.6-PARS RTS Summary'!F17,'Table 3.6-PARS RTS Summary'!F27,'Table 3.6-PARS RTS Summary'!F48,'Table 3.6-PARS RTS Summary'!F58)</f>
        <v>3203.279461176556</v>
      </c>
      <c r="I10" s="18"/>
      <c r="J10" s="369"/>
      <c r="K10" s="404">
        <f>SUM('Table 3.9-PARS Wst Summary'!F17,'Table 3.9-PARS Wst Summary'!F27,'Table 3.9-PARS Wst Summary'!F35,'Table 3.9-PARS Wst Summary'!F45)</f>
        <v>773.4891439367998</v>
      </c>
      <c r="L10" s="18"/>
      <c r="M10" s="377"/>
      <c r="P10" s="485"/>
      <c r="Q10" s="151"/>
      <c r="R10" s="151"/>
      <c r="S10" s="485"/>
      <c r="T10" s="151"/>
      <c r="U10" s="151"/>
      <c r="V10" s="485"/>
      <c r="W10" s="151"/>
      <c r="X10" s="151"/>
      <c r="Y10" s="151"/>
    </row>
    <row r="11" spans="2:25" ht="12.75" customHeight="1">
      <c r="B11" s="380" t="s">
        <v>459</v>
      </c>
      <c r="C11" s="327" t="s">
        <v>332</v>
      </c>
      <c r="D11" s="364" t="s">
        <v>531</v>
      </c>
      <c r="E11" s="404">
        <f>SUM('Table 3.3-PARS Fwd Summary'!F5,'Table 3.3-PARS Fwd Summary'!F15)</f>
        <v>42369.85796776261</v>
      </c>
      <c r="F11" s="18"/>
      <c r="G11" s="369"/>
      <c r="H11" s="404">
        <f>SUM('Table 3.6-PARS RTS Summary'!F5,'Table 3.6-PARS RTS Summary'!F13,'Table 3.6-PARS RTS Summary'!F23,'Table 3.6-PARS RTS Summary'!F33,'Table 3.6-PARS RTS Summary'!F44,'Table 3.6-PARS RTS Summary'!F54)</f>
        <v>-8072.799953931894</v>
      </c>
      <c r="I11" s="18"/>
      <c r="J11" s="369"/>
      <c r="K11" s="404">
        <f>SUM('Table 3.9-PARS Wst Summary'!F5,'Table 3.9-PARS Wst Summary'!F13,'Table 3.9-PARS Wst Summary'!F23,'Table 3.9-PARS Wst Summary'!F31,'Table 3.9-PARS Wst Summary'!F41)</f>
        <v>56429.39583202917</v>
      </c>
      <c r="L11" s="18"/>
      <c r="M11" s="377"/>
      <c r="P11" s="485"/>
      <c r="Q11" s="151"/>
      <c r="R11" s="151"/>
      <c r="S11" s="485"/>
      <c r="T11" s="151"/>
      <c r="U11" s="151"/>
      <c r="V11" s="485"/>
      <c r="W11" s="151"/>
      <c r="X11" s="151"/>
      <c r="Y11" s="151"/>
    </row>
    <row r="12" spans="2:25" ht="12.75" customHeight="1">
      <c r="B12" s="380" t="s">
        <v>530</v>
      </c>
      <c r="C12" s="327" t="s">
        <v>323</v>
      </c>
      <c r="D12" s="327" t="s">
        <v>46</v>
      </c>
      <c r="E12" s="404">
        <f>SUM('Table 3.3-PARS Fwd Summary'!F7:F8,'Table 3.3-PARS Fwd Summary'!F17:F18)</f>
        <v>29011.802823938535</v>
      </c>
      <c r="F12" s="18"/>
      <c r="G12" s="369"/>
      <c r="H12" s="404">
        <f>SUM('Table 3.6-PARS RTS Summary'!F7:F8,'Table 3.6-PARS RTS Summary'!F15:F16,'Table 3.6-PARS RTS Summary'!F25:F26,'Table 3.6-PARS RTS Summary'!F35:F36,'Table 3.6-PARS RTS Summary'!F46:F47,'Table 3.6-PARS RTS Summary'!F56:F57)</f>
        <v>3588.4220985899747</v>
      </c>
      <c r="I12" s="18"/>
      <c r="J12" s="369"/>
      <c r="K12" s="404">
        <f>SUM('Table 3.9-PARS Wst Summary'!F7:F8,'Table 3.9-PARS Wst Summary'!F15:F16,'Table 3.9-PARS Wst Summary'!F25:F26,'Table 3.9-PARS Wst Summary'!F33:F34,'Table 3.9-PARS Wst Summary'!F43:F44)</f>
        <v>37464.27962278142</v>
      </c>
      <c r="L12" s="18"/>
      <c r="M12" s="377"/>
      <c r="P12" s="485"/>
      <c r="Q12" s="151"/>
      <c r="R12" s="151"/>
      <c r="S12" s="485"/>
      <c r="T12" s="151"/>
      <c r="U12" s="151"/>
      <c r="V12" s="485"/>
      <c r="W12" s="151"/>
      <c r="X12" s="151"/>
      <c r="Y12" s="151"/>
    </row>
    <row r="13" spans="2:25" ht="12.75">
      <c r="B13" s="380" t="s">
        <v>335</v>
      </c>
      <c r="C13" s="327" t="s">
        <v>332</v>
      </c>
      <c r="D13" s="327" t="s">
        <v>330</v>
      </c>
      <c r="E13" s="404">
        <f>'Table 3.3-PARS Fwd Summary'!F23</f>
        <v>68221.10024416864</v>
      </c>
      <c r="F13" s="18"/>
      <c r="G13" s="589"/>
      <c r="H13" s="404">
        <f>'Table 3.6-PARS RTS Summary'!F62</f>
        <v>472091.3313828796</v>
      </c>
      <c r="I13" s="18"/>
      <c r="J13" s="589"/>
      <c r="K13" s="404">
        <v>0</v>
      </c>
      <c r="L13" s="18"/>
      <c r="M13" s="377"/>
      <c r="O13" s="588"/>
      <c r="P13" s="485"/>
      <c r="Q13" s="151"/>
      <c r="R13" s="600"/>
      <c r="S13" s="485"/>
      <c r="T13" s="151"/>
      <c r="U13" s="600"/>
      <c r="V13" s="485"/>
      <c r="W13" s="151"/>
      <c r="X13" s="151"/>
      <c r="Y13" s="151"/>
    </row>
    <row r="14" spans="2:25" ht="12.75">
      <c r="B14" s="383" t="s">
        <v>336</v>
      </c>
      <c r="C14" s="325" t="s">
        <v>322</v>
      </c>
      <c r="D14" s="365" t="s">
        <v>171</v>
      </c>
      <c r="E14" s="405">
        <f>SUM('Table 3.3-PARS Fwd Summary'!F24:F26)</f>
        <v>0</v>
      </c>
      <c r="F14" s="283"/>
      <c r="G14" s="370"/>
      <c r="H14" s="405">
        <f>SUM('Table 3.6-PARS RTS Summary'!F63:F65)</f>
        <v>16036.527147480072</v>
      </c>
      <c r="I14" s="283"/>
      <c r="J14" s="370"/>
      <c r="K14" s="405">
        <v>0</v>
      </c>
      <c r="L14" s="283"/>
      <c r="M14" s="387"/>
      <c r="O14" s="165"/>
      <c r="P14" s="485"/>
      <c r="Q14" s="151"/>
      <c r="R14" s="151"/>
      <c r="S14" s="485"/>
      <c r="T14" s="151"/>
      <c r="U14" s="151"/>
      <c r="V14" s="485"/>
      <c r="W14" s="151"/>
      <c r="X14" s="151"/>
      <c r="Y14" s="151"/>
    </row>
    <row r="15" spans="2:25" ht="13.5" thickBot="1">
      <c r="B15" s="384"/>
      <c r="C15" s="385"/>
      <c r="D15" s="391" t="s">
        <v>277</v>
      </c>
      <c r="E15" s="409">
        <f>SUM(E8:E14)</f>
        <v>153735.77619288594</v>
      </c>
      <c r="F15" s="410">
        <f>'Table 3.3-PARS Fwd Summary'!B29</f>
        <v>704140.1540000001</v>
      </c>
      <c r="G15" s="400">
        <f>E15/F15</f>
        <v>0.21833121619263018</v>
      </c>
      <c r="H15" s="411">
        <f>SUM(H8:H14)</f>
        <v>571137.3552784373</v>
      </c>
      <c r="I15" s="410">
        <f>'Table 3.6-PARS RTS Summary'!B68</f>
        <v>1225649.5130000003</v>
      </c>
      <c r="J15" s="400">
        <f>H15/I15</f>
        <v>0.4659875023166081</v>
      </c>
      <c r="K15" s="411">
        <f>SUM(K8:K14)</f>
        <v>118906.9698302868</v>
      </c>
      <c r="L15" s="410">
        <f>'Table 3.9-PARS Wst Summary'!B48</f>
        <v>1060922.525</v>
      </c>
      <c r="M15" s="401">
        <f>K15/L15</f>
        <v>0.11207884367455279</v>
      </c>
      <c r="O15" s="83"/>
      <c r="P15" s="601"/>
      <c r="Q15" s="602"/>
      <c r="R15" s="603"/>
      <c r="S15" s="601"/>
      <c r="T15" s="602"/>
      <c r="U15" s="603"/>
      <c r="V15" s="601"/>
      <c r="W15" s="602"/>
      <c r="X15" s="603"/>
      <c r="Y15" s="484"/>
    </row>
    <row r="16" spans="2:25" ht="4.5" customHeight="1" thickBot="1">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c r="B22" s="382" t="s">
        <v>316</v>
      </c>
      <c r="C22" s="327" t="s">
        <v>322</v>
      </c>
      <c r="D22" s="327" t="s">
        <v>331</v>
      </c>
      <c r="E22" s="403">
        <f>SUM('Table 3.4-NonPARS Fwd Summary'!F5,'Table 3.4-NonPARS Fwd Summary'!F11)</f>
        <v>7156.890759751668</v>
      </c>
      <c r="F22" s="361"/>
      <c r="G22" s="247"/>
      <c r="H22" s="403">
        <f>SUM('Table 3.7-NonPARS RTS Summary'!F5,'Table 3.7-NonPARS RTS Summary'!F11,'Table 3.7-NonPARS RTS Summary'!F17)</f>
        <v>8603.259116747278</v>
      </c>
      <c r="I22" s="361"/>
      <c r="J22" s="247"/>
      <c r="K22" s="403">
        <f>SUM('Table 3.10-NonPARS Wst Summary'!F5,'Table 3.10-NonPARS Wst Summary'!F10,'Table 3.10-NonPARS Wst Summary'!F15)</f>
        <v>77150.47912512509</v>
      </c>
      <c r="L22" s="361"/>
      <c r="M22" s="390"/>
      <c r="P22" s="485"/>
      <c r="Q22" s="151"/>
      <c r="R22" s="151"/>
      <c r="S22" s="485"/>
      <c r="T22" s="151"/>
      <c r="U22" s="151"/>
      <c r="V22" s="485"/>
      <c r="W22" s="151"/>
      <c r="X22" s="151"/>
      <c r="Y22" s="151"/>
    </row>
    <row r="23" spans="2:25" ht="12.75" customHeight="1">
      <c r="B23" s="382" t="s">
        <v>318</v>
      </c>
      <c r="C23" s="327" t="s">
        <v>323</v>
      </c>
      <c r="D23" s="327" t="s">
        <v>347</v>
      </c>
      <c r="E23" s="404">
        <f>SUM('Table 3.4-NonPARS Fwd Summary'!F6:F7)</f>
        <v>5511.076268460215</v>
      </c>
      <c r="F23" s="18"/>
      <c r="G23" s="369"/>
      <c r="H23" s="404">
        <f>SUM('Table 3.7-NonPARS RTS Summary'!F6:F7,'Table 3.7-NonPARS RTS Summary'!F18)</f>
        <v>20262.304258292854</v>
      </c>
      <c r="I23" s="18"/>
      <c r="J23" s="369"/>
      <c r="K23" s="404">
        <f>SUM('Table 3.10-NonPARS Wst Summary'!F6,'Table 3.10-NonPARS Wst Summary'!F16)</f>
        <v>39225.697541378635</v>
      </c>
      <c r="L23" s="18"/>
      <c r="M23" s="377"/>
      <c r="P23" s="485"/>
      <c r="Q23" s="151"/>
      <c r="R23" s="151"/>
      <c r="S23" s="485"/>
      <c r="T23" s="151"/>
      <c r="U23" s="151"/>
      <c r="V23" s="485"/>
      <c r="W23" s="151"/>
      <c r="X23" s="151"/>
      <c r="Y23" s="151"/>
    </row>
    <row r="24" spans="2:25" ht="12.75" customHeight="1">
      <c r="B24" s="382" t="s">
        <v>319</v>
      </c>
      <c r="C24" s="327" t="s">
        <v>323</v>
      </c>
      <c r="D24" s="327" t="s">
        <v>349</v>
      </c>
      <c r="E24" s="404">
        <f>SUM('Table 3.4-NonPARS Fwd Summary'!F12:F13)</f>
        <v>10592.426959041331</v>
      </c>
      <c r="F24" s="18"/>
      <c r="G24" s="369"/>
      <c r="H24" s="404">
        <f>SUM('Table 3.7-NonPARS RTS Summary'!F12:F13,'Table 3.7-NonPARS RTS Summary'!F19)</f>
        <v>10075.285135238515</v>
      </c>
      <c r="I24" s="18"/>
      <c r="J24" s="369"/>
      <c r="K24" s="404">
        <f>SUM('Table 3.10-NonPARS Wst Summary'!F11,'Table 3.10-NonPARS Wst Summary'!F17)</f>
        <v>13646.306494311315</v>
      </c>
      <c r="L24" s="18"/>
      <c r="M24" s="377"/>
      <c r="P24" s="485"/>
      <c r="Q24" s="151"/>
      <c r="R24" s="151"/>
      <c r="S24" s="485"/>
      <c r="T24" s="151"/>
      <c r="U24" s="151"/>
      <c r="V24" s="485"/>
      <c r="W24" s="151"/>
      <c r="X24" s="151"/>
      <c r="Y24" s="151"/>
    </row>
    <row r="25" spans="2:25" ht="12.75" customHeight="1">
      <c r="B25" s="380" t="s">
        <v>335</v>
      </c>
      <c r="C25" s="327" t="s">
        <v>332</v>
      </c>
      <c r="D25" s="327" t="s">
        <v>330</v>
      </c>
      <c r="E25" s="404">
        <f>'Table 3.4-NonPARS Fwd Summary'!F17</f>
        <v>30424.958057932225</v>
      </c>
      <c r="F25" s="18"/>
      <c r="G25" s="589"/>
      <c r="H25" s="404">
        <f>'Table 3.7-NonPARS RTS Summary'!F23</f>
        <v>221974.53250998704</v>
      </c>
      <c r="I25" s="18"/>
      <c r="J25" s="589"/>
      <c r="K25" s="404">
        <v>0</v>
      </c>
      <c r="L25" s="18"/>
      <c r="M25" s="377"/>
      <c r="O25" s="588"/>
      <c r="P25" s="485"/>
      <c r="Q25" s="151"/>
      <c r="R25" s="600"/>
      <c r="S25" s="485"/>
      <c r="T25" s="151"/>
      <c r="U25" s="600"/>
      <c r="V25" s="485"/>
      <c r="W25" s="151"/>
      <c r="X25" s="151"/>
      <c r="Y25" s="151"/>
    </row>
    <row r="26" spans="2:25" ht="12.75" customHeight="1">
      <c r="B26" s="383" t="s">
        <v>336</v>
      </c>
      <c r="C26" s="325" t="s">
        <v>322</v>
      </c>
      <c r="D26" s="365" t="s">
        <v>171</v>
      </c>
      <c r="E26" s="405">
        <f>SUM('Table 3.4-NonPARS Fwd Summary'!F18:F21)</f>
        <v>7554.154498729475</v>
      </c>
      <c r="F26" s="283"/>
      <c r="G26" s="370"/>
      <c r="H26" s="405">
        <f>SUM('Table 3.7-NonPARS RTS Summary'!F24:F26)</f>
        <v>27858.282740814797</v>
      </c>
      <c r="I26" s="283"/>
      <c r="J26" s="370"/>
      <c r="K26" s="405">
        <v>0</v>
      </c>
      <c r="L26" s="283"/>
      <c r="M26" s="387"/>
      <c r="O26" s="165"/>
      <c r="P26" s="485"/>
      <c r="Q26" s="151"/>
      <c r="R26" s="151"/>
      <c r="S26" s="485"/>
      <c r="T26" s="151"/>
      <c r="U26" s="151"/>
      <c r="V26" s="485"/>
      <c r="W26" s="151"/>
      <c r="X26" s="151"/>
      <c r="Y26" s="151"/>
    </row>
    <row r="27" spans="2:25" ht="12.75" customHeight="1" thickBot="1">
      <c r="B27" s="384"/>
      <c r="C27" s="385"/>
      <c r="D27" s="391" t="s">
        <v>277</v>
      </c>
      <c r="E27" s="411">
        <f>SUM(E22:E26)</f>
        <v>61239.50654391492</v>
      </c>
      <c r="F27" s="410">
        <f>'Table 3.4-NonPARS Fwd Summary'!B24</f>
        <v>79132.68119752806</v>
      </c>
      <c r="G27" s="400">
        <f>E27/F27</f>
        <v>0.7738838823248152</v>
      </c>
      <c r="H27" s="411">
        <f>SUM(H22:H26)</f>
        <v>288773.6637610805</v>
      </c>
      <c r="I27" s="410">
        <f>'Table 3.7-NonPARS RTS Summary'!B29</f>
        <v>88444.30787181006</v>
      </c>
      <c r="J27" s="400">
        <f>H27/I27</f>
        <v>3.265033903364646</v>
      </c>
      <c r="K27" s="411">
        <f>SUM(K22:K26)</f>
        <v>130022.48316081503</v>
      </c>
      <c r="L27" s="410">
        <f>'Table 3.10-NonPARS Wst Summary'!B20</f>
        <v>2136747.0203668666</v>
      </c>
      <c r="M27" s="401">
        <f>K27/L27</f>
        <v>0.060850667824256965</v>
      </c>
      <c r="O27" s="83"/>
      <c r="P27" s="601"/>
      <c r="Q27" s="602"/>
      <c r="R27" s="603"/>
      <c r="S27" s="601"/>
      <c r="T27" s="602"/>
      <c r="U27" s="603"/>
      <c r="V27" s="601"/>
      <c r="W27" s="602"/>
      <c r="X27" s="603"/>
      <c r="Y27" s="484"/>
    </row>
    <row r="28" spans="2:25" ht="4.5" customHeight="1" thickBot="1">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c r="B34" s="382" t="s">
        <v>316</v>
      </c>
      <c r="C34" s="327" t="s">
        <v>322</v>
      </c>
      <c r="D34" s="327" t="s">
        <v>331</v>
      </c>
      <c r="E34" s="403">
        <f>E8+E22</f>
        <v>12077.542907974594</v>
      </c>
      <c r="F34" s="361"/>
      <c r="G34" s="247"/>
      <c r="H34" s="403">
        <f>H8+H22</f>
        <v>79265.9985819683</v>
      </c>
      <c r="I34" s="361"/>
      <c r="J34" s="247"/>
      <c r="K34" s="403">
        <f>K8+K22</f>
        <v>98861.44287332831</v>
      </c>
      <c r="L34" s="361"/>
      <c r="M34" s="390"/>
      <c r="P34" s="485"/>
      <c r="Q34" s="151"/>
      <c r="R34" s="151"/>
      <c r="S34" s="485"/>
      <c r="T34" s="151"/>
      <c r="U34" s="151"/>
      <c r="V34" s="485"/>
      <c r="W34" s="151"/>
      <c r="X34" s="151"/>
      <c r="Y34" s="151"/>
    </row>
    <row r="35" spans="2:25" ht="12.75" customHeight="1">
      <c r="B35" s="382" t="s">
        <v>318</v>
      </c>
      <c r="C35" s="327" t="s">
        <v>323</v>
      </c>
      <c r="D35" s="327" t="s">
        <v>347</v>
      </c>
      <c r="E35" s="404">
        <f>E9+E23</f>
        <v>5975.983247867031</v>
      </c>
      <c r="F35" s="18"/>
      <c r="G35" s="369"/>
      <c r="H35" s="404">
        <f>H9+H23</f>
        <v>33890.15993531485</v>
      </c>
      <c r="I35" s="18"/>
      <c r="J35" s="369"/>
      <c r="K35" s="404">
        <f>K9+K23</f>
        <v>41754.53902471483</v>
      </c>
      <c r="L35" s="18"/>
      <c r="M35" s="377"/>
      <c r="P35" s="485"/>
      <c r="Q35" s="151"/>
      <c r="R35" s="151"/>
      <c r="S35" s="485"/>
      <c r="T35" s="151"/>
      <c r="U35" s="151"/>
      <c r="V35" s="485"/>
      <c r="W35" s="151"/>
      <c r="X35" s="151"/>
      <c r="Y35" s="151"/>
    </row>
    <row r="36" spans="2:25" ht="12.75" customHeight="1">
      <c r="B36" s="382" t="s">
        <v>319</v>
      </c>
      <c r="C36" s="327" t="s">
        <v>323</v>
      </c>
      <c r="D36" s="327" t="s">
        <v>349</v>
      </c>
      <c r="E36" s="404">
        <f>E10+E24</f>
        <v>19339.882988427744</v>
      </c>
      <c r="F36" s="18"/>
      <c r="G36" s="369"/>
      <c r="H36" s="404">
        <f>H10+H24</f>
        <v>13278.564596415072</v>
      </c>
      <c r="I36" s="18"/>
      <c r="J36" s="369"/>
      <c r="K36" s="404">
        <f>K10+K24</f>
        <v>14419.795638248115</v>
      </c>
      <c r="L36" s="18"/>
      <c r="M36" s="377"/>
      <c r="P36" s="485"/>
      <c r="Q36" s="151"/>
      <c r="R36" s="151"/>
      <c r="S36" s="485"/>
      <c r="T36" s="151"/>
      <c r="U36" s="151"/>
      <c r="V36" s="485"/>
      <c r="W36" s="151"/>
      <c r="X36" s="151"/>
      <c r="Y36" s="151"/>
    </row>
    <row r="37" spans="2:25" ht="12.75" customHeight="1">
      <c r="B37" s="380" t="s">
        <v>459</v>
      </c>
      <c r="C37" s="327" t="s">
        <v>332</v>
      </c>
      <c r="D37" s="364" t="s">
        <v>531</v>
      </c>
      <c r="E37" s="404">
        <f>E11</f>
        <v>42369.85796776261</v>
      </c>
      <c r="F37" s="18"/>
      <c r="G37" s="369"/>
      <c r="H37" s="404">
        <f>H11</f>
        <v>-8072.799953931894</v>
      </c>
      <c r="I37" s="18"/>
      <c r="J37" s="369"/>
      <c r="K37" s="404">
        <f>K11</f>
        <v>56429.39583202917</v>
      </c>
      <c r="L37" s="18"/>
      <c r="M37" s="377"/>
      <c r="O37" s="107"/>
      <c r="P37" s="485"/>
      <c r="Q37" s="151"/>
      <c r="R37" s="151"/>
      <c r="S37" s="485"/>
      <c r="T37" s="151"/>
      <c r="U37" s="151"/>
      <c r="V37" s="485"/>
      <c r="W37" s="151"/>
      <c r="X37" s="151"/>
      <c r="Y37" s="151"/>
    </row>
    <row r="38" spans="2:25" ht="12.75" customHeight="1">
      <c r="B38" s="380" t="s">
        <v>530</v>
      </c>
      <c r="C38" s="327" t="s">
        <v>323</v>
      </c>
      <c r="D38" s="327" t="s">
        <v>46</v>
      </c>
      <c r="E38" s="404">
        <f>E12</f>
        <v>29011.802823938535</v>
      </c>
      <c r="F38" s="18"/>
      <c r="G38" s="369"/>
      <c r="H38" s="404">
        <f>H12</f>
        <v>3588.4220985899747</v>
      </c>
      <c r="I38" s="18"/>
      <c r="J38" s="369"/>
      <c r="K38" s="404">
        <f>K12</f>
        <v>37464.27962278142</v>
      </c>
      <c r="L38" s="18"/>
      <c r="M38" s="377"/>
      <c r="P38" s="485"/>
      <c r="Q38" s="151"/>
      <c r="R38" s="151"/>
      <c r="S38" s="485"/>
      <c r="T38" s="151"/>
      <c r="U38" s="151"/>
      <c r="V38" s="485"/>
      <c r="W38" s="151"/>
      <c r="X38" s="151"/>
      <c r="Y38" s="151"/>
    </row>
    <row r="39" spans="2:25" ht="12.75" customHeight="1">
      <c r="B39" s="380" t="s">
        <v>335</v>
      </c>
      <c r="C39" s="327" t="s">
        <v>332</v>
      </c>
      <c r="D39" s="327" t="s">
        <v>330</v>
      </c>
      <c r="E39" s="404">
        <f>E13+E25</f>
        <v>98646.05830210086</v>
      </c>
      <c r="F39" s="18"/>
      <c r="G39" s="589"/>
      <c r="H39" s="404">
        <f>H13+H25</f>
        <v>694065.8638928666</v>
      </c>
      <c r="I39" s="18"/>
      <c r="J39" s="589"/>
      <c r="K39" s="404">
        <f>K13+K25</f>
        <v>0</v>
      </c>
      <c r="L39" s="18"/>
      <c r="M39" s="377"/>
      <c r="O39" s="588"/>
      <c r="P39" s="485"/>
      <c r="Q39" s="151"/>
      <c r="R39" s="600"/>
      <c r="S39" s="485"/>
      <c r="T39" s="151"/>
      <c r="U39" s="600"/>
      <c r="V39" s="485"/>
      <c r="W39" s="151"/>
      <c r="X39" s="151"/>
      <c r="Y39" s="151"/>
    </row>
    <row r="40" spans="2:25" ht="12.75" customHeight="1">
      <c r="B40" s="383" t="s">
        <v>336</v>
      </c>
      <c r="C40" s="325" t="s">
        <v>322</v>
      </c>
      <c r="D40" s="365" t="s">
        <v>171</v>
      </c>
      <c r="E40" s="405">
        <f>E14+E26</f>
        <v>7554.154498729475</v>
      </c>
      <c r="F40" s="283"/>
      <c r="G40" s="370"/>
      <c r="H40" s="405">
        <f>H14+H26</f>
        <v>43894.80988829487</v>
      </c>
      <c r="I40" s="283"/>
      <c r="J40" s="370"/>
      <c r="K40" s="405">
        <f>K14+K26</f>
        <v>0</v>
      </c>
      <c r="L40" s="283"/>
      <c r="M40" s="387"/>
      <c r="O40" s="165"/>
      <c r="P40" s="485"/>
      <c r="Q40" s="151"/>
      <c r="R40" s="151"/>
      <c r="S40" s="485"/>
      <c r="T40" s="151"/>
      <c r="U40" s="151"/>
      <c r="V40" s="485"/>
      <c r="W40" s="151"/>
      <c r="X40" s="151"/>
      <c r="Y40" s="151"/>
    </row>
    <row r="41" spans="2:25" ht="12.75" customHeight="1" thickBot="1">
      <c r="B41" s="384"/>
      <c r="C41" s="385"/>
      <c r="D41" s="391" t="s">
        <v>277</v>
      </c>
      <c r="E41" s="411">
        <f>SUM(E34:E40)</f>
        <v>214975.28273680087</v>
      </c>
      <c r="F41" s="410">
        <f>F15+F27</f>
        <v>783272.8351975281</v>
      </c>
      <c r="G41" s="400">
        <f>E41/F41</f>
        <v>0.2744577279800438</v>
      </c>
      <c r="H41" s="411">
        <f>SUM(H34:H40)</f>
        <v>859911.0190395179</v>
      </c>
      <c r="I41" s="410">
        <f>I15+I27</f>
        <v>1314093.8208718104</v>
      </c>
      <c r="J41" s="400">
        <f>H41/I41</f>
        <v>0.6543756658630556</v>
      </c>
      <c r="K41" s="411">
        <f>SUM(K34:K40)</f>
        <v>248929.45299110183</v>
      </c>
      <c r="L41" s="410">
        <f>L15+L27</f>
        <v>3197669.5453668665</v>
      </c>
      <c r="M41" s="401">
        <f>K41/L41</f>
        <v>0.07784714757401309</v>
      </c>
      <c r="O41" s="83"/>
      <c r="P41" s="601"/>
      <c r="Q41" s="602"/>
      <c r="R41" s="603"/>
      <c r="S41" s="601"/>
      <c r="T41" s="602"/>
      <c r="U41" s="603"/>
      <c r="V41" s="601"/>
      <c r="W41" s="602"/>
      <c r="X41" s="603"/>
      <c r="Y41" s="484"/>
    </row>
    <row r="42" spans="2:25" ht="4.5" customHeight="1">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75">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c r="B47" s="386" t="s">
        <v>567</v>
      </c>
      <c r="C47" s="283"/>
      <c r="D47" s="513" t="s">
        <v>277</v>
      </c>
      <c r="E47" s="405">
        <f>'Table 3.13-COA Costs'!L79</f>
        <v>82273.06317066035</v>
      </c>
      <c r="F47" s="10">
        <f>'Table 3.13-COA Costs'!D79</f>
        <v>35941.744</v>
      </c>
      <c r="G47" s="468">
        <f>E47/F47</f>
        <v>2.2890670850769053</v>
      </c>
      <c r="H47" s="405">
        <v>0</v>
      </c>
      <c r="I47" s="10">
        <v>0</v>
      </c>
      <c r="J47" s="468">
        <v>0</v>
      </c>
      <c r="K47" s="405">
        <f>E47+H47</f>
        <v>82273.06317066035</v>
      </c>
      <c r="L47" s="10">
        <f>F47+I47</f>
        <v>35941.744</v>
      </c>
      <c r="M47" s="527">
        <f>G47+J47</f>
        <v>2.2890670850769053</v>
      </c>
      <c r="O47" s="173"/>
      <c r="P47" s="485"/>
      <c r="Q47" s="492"/>
      <c r="R47" s="488"/>
      <c r="S47" s="485"/>
      <c r="T47" s="492"/>
      <c r="U47" s="488"/>
      <c r="V47" s="485"/>
      <c r="W47" s="492"/>
      <c r="X47" s="603"/>
      <c r="Y47" s="484"/>
    </row>
    <row r="48" spans="2:25" ht="4.5" customHeight="1">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ht="12.75">
      <c r="B50" s="425" t="s">
        <v>769</v>
      </c>
      <c r="C50" s="18"/>
      <c r="D50" s="18"/>
      <c r="E50" s="404">
        <f>SUM('Table 3.25-REC Summary'!L8:L10)+'Table 3.19-CFS UAA'!J47</f>
        <v>12185.81582731406</v>
      </c>
      <c r="F50" s="324">
        <f>SUM('Table 3.23-CIOSS Summary'!C8:C10)</f>
        <v>236254.68799999997</v>
      </c>
      <c r="G50" s="518">
        <f>E50/F50</f>
        <v>0.05157914930904593</v>
      </c>
      <c r="H50" s="404">
        <f>'Table 3.19-CFS UAA'!J16</f>
        <v>28153.642132884906</v>
      </c>
      <c r="I50" s="324">
        <f>'Table 3.19-CFS UAA'!B16</f>
        <v>54271.015951805355</v>
      </c>
      <c r="J50" s="518">
        <f>H50/I50</f>
        <v>0.5187601823759181</v>
      </c>
      <c r="K50" s="404">
        <f aca="true" t="shared" si="0" ref="K50:L52">E50+H50</f>
        <v>40339.45796019897</v>
      </c>
      <c r="L50" s="324">
        <f t="shared" si="0"/>
        <v>290525.7039518053</v>
      </c>
      <c r="M50" s="528">
        <f>K50/L50</f>
        <v>0.1388498759713557</v>
      </c>
      <c r="O50" s="83"/>
      <c r="P50" s="485"/>
      <c r="Q50" s="492"/>
      <c r="R50" s="488"/>
      <c r="S50" s="485"/>
      <c r="T50" s="492"/>
      <c r="U50" s="488"/>
      <c r="V50" s="485"/>
      <c r="W50" s="492"/>
      <c r="X50" s="488"/>
      <c r="Y50" s="151"/>
    </row>
    <row r="51" spans="2:25" ht="12.75">
      <c r="B51" s="425" t="s">
        <v>770</v>
      </c>
      <c r="C51" s="18"/>
      <c r="D51" s="18"/>
      <c r="E51" s="404">
        <f>SUM('Table 3.25-REC Summary'!L12:L13)+'Table 3.19-CFS UAA'!J60</f>
        <v>19550.881745546347</v>
      </c>
      <c r="F51" s="324">
        <f>SUM('Table 3.23-CIOSS Summary'!C12:C13)</f>
        <v>399675.74879522243</v>
      </c>
      <c r="G51" s="518">
        <f>E51/F51</f>
        <v>0.04891685773900538</v>
      </c>
      <c r="H51" s="404">
        <f>'Table 3.19-CFS UAA'!J29</f>
        <v>17351.215564098602</v>
      </c>
      <c r="I51" s="324">
        <f>'Table 3.19-CFS UAA'!B29</f>
        <v>41670.02618250581</v>
      </c>
      <c r="J51" s="518">
        <f>H51/I51</f>
        <v>0.4163956002356222</v>
      </c>
      <c r="K51" s="404">
        <f t="shared" si="0"/>
        <v>36902.097309644945</v>
      </c>
      <c r="L51" s="324">
        <f t="shared" si="0"/>
        <v>441345.77497772826</v>
      </c>
      <c r="M51" s="528">
        <f>K51/L51</f>
        <v>0.08361266698770854</v>
      </c>
      <c r="O51" s="83"/>
      <c r="P51" s="485"/>
      <c r="Q51" s="492"/>
      <c r="R51" s="488"/>
      <c r="S51" s="485"/>
      <c r="T51" s="492"/>
      <c r="U51" s="488"/>
      <c r="V51" s="485"/>
      <c r="W51" s="492"/>
      <c r="X51" s="488"/>
      <c r="Y51" s="151"/>
    </row>
    <row r="52" spans="2:25" ht="12.75">
      <c r="B52" s="426" t="s">
        <v>771</v>
      </c>
      <c r="C52" s="283"/>
      <c r="D52" s="370"/>
      <c r="E52" s="405">
        <v>0</v>
      </c>
      <c r="F52" s="10">
        <f>SUM('Table 3.18-Nixie UAA'!D10:D11)+SUM('Table 3.24-CIOSS Detail'!E15:E16)</f>
        <v>399675.7487952225</v>
      </c>
      <c r="G52" s="468">
        <v>0</v>
      </c>
      <c r="H52" s="405">
        <f>SUM('Table 3.18-Nixie UAA'!I26:I27)</f>
        <v>15028.842517685309</v>
      </c>
      <c r="I52" s="10">
        <f>SUM('Table 3.18-Nixie UAA'!D26:D27)</f>
        <v>41670.02618250581</v>
      </c>
      <c r="J52" s="468">
        <f>H52/I52</f>
        <v>0.36066314073963357</v>
      </c>
      <c r="K52" s="405">
        <f t="shared" si="0"/>
        <v>15028.842517685309</v>
      </c>
      <c r="L52" s="10">
        <f t="shared" si="0"/>
        <v>441345.7749777283</v>
      </c>
      <c r="M52" s="535">
        <f>K52/L52</f>
        <v>0.034052308574708146</v>
      </c>
      <c r="O52" s="83"/>
      <c r="P52" s="485"/>
      <c r="Q52" s="492"/>
      <c r="R52" s="488"/>
      <c r="S52" s="485"/>
      <c r="T52" s="492"/>
      <c r="U52" s="488"/>
      <c r="V52" s="485"/>
      <c r="W52" s="492"/>
      <c r="X52" s="488"/>
      <c r="Y52" s="151"/>
    </row>
    <row r="53" spans="2:25" ht="12.75">
      <c r="B53" s="381"/>
      <c r="C53" s="18"/>
      <c r="D53" s="512" t="s">
        <v>277</v>
      </c>
      <c r="E53" s="412">
        <f>SUM(E50:E52)</f>
        <v>31736.69757286041</v>
      </c>
      <c r="F53" s="282">
        <f>SUM(F50:F51)</f>
        <v>635930.4367952223</v>
      </c>
      <c r="G53" s="468">
        <f>E53/F53</f>
        <v>0.049905926397858555</v>
      </c>
      <c r="H53" s="412">
        <f>SUM(H50:H52)</f>
        <v>60533.70021466882</v>
      </c>
      <c r="I53" s="282">
        <f>SUM(I50:I51)</f>
        <v>95941.04213431117</v>
      </c>
      <c r="J53" s="468">
        <f>H53/I53</f>
        <v>0.6309468697445</v>
      </c>
      <c r="K53" s="405">
        <f>SUM(K50:K52)</f>
        <v>92270.39778752922</v>
      </c>
      <c r="L53" s="10">
        <f>SUM(L50:L51)</f>
        <v>731871.4789295336</v>
      </c>
      <c r="M53" s="527">
        <f>K53/L53</f>
        <v>0.12607459156966716</v>
      </c>
      <c r="O53" s="173"/>
      <c r="P53" s="601"/>
      <c r="Q53" s="602"/>
      <c r="R53" s="488"/>
      <c r="S53" s="601"/>
      <c r="T53" s="602"/>
      <c r="U53" s="488"/>
      <c r="V53" s="485"/>
      <c r="W53" s="492"/>
      <c r="X53" s="603"/>
      <c r="Y53" s="484"/>
    </row>
    <row r="54" spans="2:25" ht="4.5" customHeight="1">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ht="12.75">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ht="12.75">
      <c r="B56" s="388" t="s">
        <v>327</v>
      </c>
      <c r="C56" s="18"/>
      <c r="D56" s="18"/>
      <c r="E56" s="404">
        <f>F56*G56</f>
        <v>29011.919920883767</v>
      </c>
      <c r="F56" s="324">
        <f>SUM('Table 3.11-Form3547 Costs'!H6,'Table 3.11-Form3547 Costs'!H13,'Table 3.11-Form3547 Costs'!H19)</f>
        <v>51792.66801242619</v>
      </c>
      <c r="G56" s="518">
        <f>'Table 3.11-Form3547 Costs'!P21</f>
        <v>0.5601549608126613</v>
      </c>
      <c r="H56" s="404">
        <f>I56*J56</f>
        <v>10631.064833589375</v>
      </c>
      <c r="I56" s="324">
        <f>SUM('Table 3.11-Form3547 Costs'!H28:H29,'Table 3.11-Form3547 Costs'!H36:H37,'Table 3.11-Form3547 Costs'!H43)</f>
        <v>8180.760834378456</v>
      </c>
      <c r="J56" s="518">
        <f>'Table 3.11-Form3547 Costs'!P45</f>
        <v>1.2995203073183454</v>
      </c>
      <c r="K56" s="404">
        <f>E56+H56</f>
        <v>39642.984754473146</v>
      </c>
      <c r="L56" s="324">
        <f>F56+I56</f>
        <v>59973.42884680464</v>
      </c>
      <c r="M56" s="528">
        <f>K56/L56</f>
        <v>0.6610091421608839</v>
      </c>
      <c r="O56" s="83"/>
      <c r="P56" s="485"/>
      <c r="Q56" s="492"/>
      <c r="R56" s="488"/>
      <c r="S56" s="485"/>
      <c r="T56" s="492"/>
      <c r="U56" s="488"/>
      <c r="V56" s="485"/>
      <c r="W56" s="492"/>
      <c r="X56" s="488"/>
      <c r="Y56" s="151"/>
    </row>
    <row r="57" spans="2:25" ht="12.75">
      <c r="B57" s="389" t="s">
        <v>328</v>
      </c>
      <c r="C57" s="283"/>
      <c r="D57" s="370"/>
      <c r="E57" s="405">
        <v>0</v>
      </c>
      <c r="F57" s="10">
        <v>0</v>
      </c>
      <c r="G57" s="468">
        <v>0</v>
      </c>
      <c r="H57" s="405">
        <f>I57*J57</f>
        <v>13642.920710027616</v>
      </c>
      <c r="I57" s="10">
        <f>SUM('Table 3.12-Form3579 Costs'!H7:H8)</f>
        <v>12376.452574036062</v>
      </c>
      <c r="J57" s="468">
        <f>'Table 3.12-Form3579 Costs'!P12</f>
        <v>1.1023288481425133</v>
      </c>
      <c r="K57" s="405">
        <f>E57+H57</f>
        <v>13642.920710027616</v>
      </c>
      <c r="L57" s="10">
        <f>F57+I57</f>
        <v>12376.452574036062</v>
      </c>
      <c r="M57" s="535">
        <f>K57/L57</f>
        <v>1.1023288481425133</v>
      </c>
      <c r="O57" s="83"/>
      <c r="P57" s="485"/>
      <c r="Q57" s="492"/>
      <c r="R57" s="488"/>
      <c r="S57" s="485"/>
      <c r="T57" s="492"/>
      <c r="U57" s="488"/>
      <c r="V57" s="485"/>
      <c r="W57" s="492"/>
      <c r="X57" s="488"/>
      <c r="Y57" s="151"/>
    </row>
    <row r="58" spans="2:25" ht="13.5" thickBot="1">
      <c r="B58" s="384"/>
      <c r="C58" s="385"/>
      <c r="D58" s="391" t="s">
        <v>277</v>
      </c>
      <c r="E58" s="529">
        <f>SUM(E56:E57)</f>
        <v>29011.919920883767</v>
      </c>
      <c r="F58" s="530">
        <f>SUM(F56:F57)</f>
        <v>51792.66801242619</v>
      </c>
      <c r="G58" s="531">
        <f>E58/F58</f>
        <v>0.5601549608126613</v>
      </c>
      <c r="H58" s="529">
        <f>SUM(H56:H57)</f>
        <v>24273.98554361699</v>
      </c>
      <c r="I58" s="530">
        <f>SUM(I56:I57)</f>
        <v>20557.21340841452</v>
      </c>
      <c r="J58" s="531">
        <f>H58/I58</f>
        <v>1.180801359666827</v>
      </c>
      <c r="K58" s="532">
        <f>SUM(K56:K57)</f>
        <v>53285.90546450076</v>
      </c>
      <c r="L58" s="533">
        <f>SUM(L56:L57)</f>
        <v>72349.88142084071</v>
      </c>
      <c r="M58" s="534">
        <f>K58/L58</f>
        <v>0.7365030103442785</v>
      </c>
      <c r="O58" s="173"/>
      <c r="P58" s="601"/>
      <c r="Q58" s="602"/>
      <c r="R58" s="488"/>
      <c r="S58" s="601"/>
      <c r="T58" s="602"/>
      <c r="U58" s="488"/>
      <c r="V58" s="485"/>
      <c r="W58" s="492"/>
      <c r="X58" s="603"/>
      <c r="Y58" s="484"/>
    </row>
    <row r="59" spans="16:25" ht="4.5" customHeight="1" thickBot="1">
      <c r="P59" s="151"/>
      <c r="Q59" s="151"/>
      <c r="R59" s="151"/>
      <c r="S59" s="151"/>
      <c r="T59" s="151"/>
      <c r="U59" s="151"/>
      <c r="V59" s="151"/>
      <c r="W59" s="151"/>
      <c r="X59" s="151"/>
      <c r="Y59" s="151"/>
    </row>
    <row r="60" spans="3:25" ht="12.75" customHeight="1" thickBot="1">
      <c r="C60" s="539"/>
      <c r="D60" s="540" t="s">
        <v>538</v>
      </c>
      <c r="E60" s="541">
        <f>SUM(E15,H15,K15)+SUM(E47,E53,E58)</f>
        <v>986801.7819660145</v>
      </c>
      <c r="F60" s="542"/>
      <c r="G60" s="542"/>
      <c r="H60" s="541">
        <f>SUM(E27,H27,K27)+SUM(H47,H53,H58)</f>
        <v>564843.3392240962</v>
      </c>
      <c r="I60" s="542"/>
      <c r="J60" s="542"/>
      <c r="K60" s="541">
        <f>E60+H60</f>
        <v>1551645.1211901107</v>
      </c>
      <c r="L60" s="542"/>
      <c r="M60" s="543"/>
      <c r="O60" s="588"/>
      <c r="P60" s="601"/>
      <c r="Q60" s="151"/>
      <c r="R60" s="151"/>
      <c r="S60" s="601"/>
      <c r="T60" s="151"/>
      <c r="U60" s="151"/>
      <c r="V60" s="601"/>
      <c r="W60" s="151"/>
      <c r="X60" s="151"/>
      <c r="Y60" s="484"/>
    </row>
    <row r="61" spans="4:25" ht="12.75" customHeight="1" hidden="1">
      <c r="D61" s="332"/>
      <c r="E61" s="53"/>
      <c r="F61" s="6"/>
      <c r="G61" s="6"/>
      <c r="H61" s="6"/>
      <c r="I61" s="6"/>
      <c r="J61" s="6"/>
      <c r="K61" s="6"/>
      <c r="L61" s="6"/>
      <c r="P61" s="151"/>
      <c r="Q61" s="151"/>
      <c r="R61" s="151"/>
      <c r="S61" s="151"/>
      <c r="T61" s="151"/>
      <c r="U61" s="151"/>
      <c r="V61" s="151"/>
      <c r="W61" s="151"/>
      <c r="X61" s="151"/>
      <c r="Y61" s="151"/>
    </row>
    <row r="62" spans="4:25" ht="12.75" hidden="1">
      <c r="D62" s="332"/>
      <c r="E62" s="52"/>
      <c r="P62" s="151"/>
      <c r="Q62" s="151"/>
      <c r="R62" s="151"/>
      <c r="S62" s="151"/>
      <c r="T62" s="151"/>
      <c r="U62" s="151"/>
      <c r="V62" s="151"/>
      <c r="W62" s="151"/>
      <c r="X62" s="151"/>
      <c r="Y62" s="151"/>
    </row>
    <row r="63" spans="4:25" ht="12.75" hidden="1">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4:25" ht="12.75" hidden="1">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4:25" ht="12.75" hidden="1">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4:25" ht="12.75" hidden="1">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4:25" ht="12.75" hidden="1">
      <c r="D67" s="48"/>
      <c r="E67" s="352"/>
      <c r="F67" s="352"/>
      <c r="G67" s="352"/>
      <c r="H67" s="352"/>
      <c r="I67" s="352"/>
      <c r="J67" s="352"/>
      <c r="K67" s="352"/>
      <c r="L67" s="352"/>
      <c r="M67" s="352"/>
      <c r="P67" s="151"/>
      <c r="Q67" s="151"/>
      <c r="R67" s="151"/>
      <c r="S67" s="151"/>
      <c r="T67" s="151"/>
      <c r="U67" s="151"/>
      <c r="V67" s="151"/>
      <c r="W67" s="151"/>
      <c r="X67" s="151"/>
      <c r="Y67" s="151"/>
    </row>
    <row r="68" spans="4:25" ht="12.75" hidden="1">
      <c r="D68" s="48"/>
      <c r="E68" s="352"/>
      <c r="F68" s="352"/>
      <c r="G68" s="352"/>
      <c r="H68" s="352"/>
      <c r="I68" s="352"/>
      <c r="J68" s="352"/>
      <c r="K68" s="352"/>
      <c r="L68" s="352"/>
      <c r="M68" s="352"/>
      <c r="P68" s="151"/>
      <c r="Q68" s="151"/>
      <c r="R68" s="151"/>
      <c r="S68" s="151"/>
      <c r="T68" s="151"/>
      <c r="U68" s="151"/>
      <c r="V68" s="151"/>
      <c r="W68" s="151"/>
      <c r="X68" s="151"/>
      <c r="Y68" s="151"/>
    </row>
    <row r="69" spans="6:25" ht="12.75" hidden="1">
      <c r="F69" s="27"/>
      <c r="G69" s="342" t="s">
        <v>351</v>
      </c>
      <c r="H69" s="32">
        <f>SUM('Table 3.2-Total Fwd Summary'!F34,'Table 3.5-Total RTS Summary'!F38,'Table 3.8-Total Wst Summary'!F19)</f>
        <v>1323815.7547674205</v>
      </c>
      <c r="I69" s="32">
        <f>SUM(E41,H41,K41)</f>
        <v>1323815.7547674207</v>
      </c>
      <c r="J69" s="138">
        <f aca="true" t="shared" si="1" ref="J69:J74">H69-I69</f>
        <v>0</v>
      </c>
      <c r="K69" s="352"/>
      <c r="L69" s="352"/>
      <c r="M69" s="482" t="s">
        <v>311</v>
      </c>
      <c r="N69" s="6">
        <f>SUM('Table 3.14-Route UAA'!J103,'Table 3.14-Route UAA'!J109,'Table 3.14-Route UAA'!J111)</f>
        <v>190204.9843632712</v>
      </c>
      <c r="O69" s="6">
        <f aca="true" t="shared" si="2" ref="O69:O75">E34+H34+K34</f>
        <v>190204.9843632712</v>
      </c>
      <c r="P69" s="515"/>
      <c r="Q69" s="151"/>
      <c r="R69" s="151"/>
      <c r="S69" s="151"/>
      <c r="T69" s="151"/>
      <c r="U69" s="151"/>
      <c r="V69" s="151"/>
      <c r="W69" s="151"/>
      <c r="X69" s="151"/>
      <c r="Y69" s="151"/>
    </row>
    <row r="70" spans="6:25" ht="12.75" hidden="1">
      <c r="F70" s="27"/>
      <c r="G70" s="342" t="s">
        <v>352</v>
      </c>
      <c r="H70" s="32">
        <f>'Table 3.13-COA Costs'!D79*'Table 3.13-COA Costs'!N79</f>
        <v>82273.06317066035</v>
      </c>
      <c r="I70" s="32">
        <f>K47</f>
        <v>82273.06317066035</v>
      </c>
      <c r="J70" s="138">
        <f t="shared" si="1"/>
        <v>0</v>
      </c>
      <c r="K70" s="352"/>
      <c r="L70" s="352"/>
      <c r="M70" s="46" t="s">
        <v>312</v>
      </c>
      <c r="N70" s="6">
        <f>'Table 3.18-Nixie UAA'!I40+'Table 3.31-Rating Post Due'!H27-SUM('Table 3.18-Nixie UAA'!I26:I27)</f>
        <v>81620.68220789672</v>
      </c>
      <c r="O70" s="6">
        <f t="shared" si="2"/>
        <v>81620.68220789671</v>
      </c>
      <c r="P70" s="515"/>
      <c r="Q70" s="151"/>
      <c r="R70" s="151"/>
      <c r="S70" s="151"/>
      <c r="T70" s="151"/>
      <c r="U70" s="151"/>
      <c r="V70" s="151"/>
      <c r="W70" s="151"/>
      <c r="X70" s="151"/>
      <c r="Y70" s="151"/>
    </row>
    <row r="71" spans="6:25" ht="12.75" hidden="1">
      <c r="F71" s="27"/>
      <c r="G71" s="347" t="s">
        <v>774</v>
      </c>
      <c r="H71" s="32">
        <f>SUM('Table 3.27-REC Detail ACS'!K49:K50)+SUM('Table 3.19-CFS UAA'!J16,'Table 3.19-CFS UAA'!J29,'Table 3.19-CFS UAA'!J47,'Table 3.19-CFS UAA'!J60)+SUM('Table 3.18-Nixie UAA'!I26:I27)</f>
        <v>92270.39778752922</v>
      </c>
      <c r="I71" s="32">
        <f>K53</f>
        <v>92270.39778752922</v>
      </c>
      <c r="J71" s="138">
        <f t="shared" si="1"/>
        <v>0</v>
      </c>
      <c r="K71" s="352"/>
      <c r="L71" s="352"/>
      <c r="M71" s="46" t="s">
        <v>313</v>
      </c>
      <c r="N71" s="6">
        <f>SUM('Table 3.19-CFS UAA'!J77,'Table 3.19-CFS UAA'!J90)+SUM('Table 3.20-CFS Non-CIOSS'!H45,'Table 3.20-CFS Non-CIOSS'!H50,'Table 3.20-CFS Non-CIOSS'!H56,'Table 3.20-CFS Non-CIOSS'!H61)</f>
        <v>47038.24322309093</v>
      </c>
      <c r="O71" s="6">
        <f t="shared" si="2"/>
        <v>47038.24322309093</v>
      </c>
      <c r="P71" s="515"/>
      <c r="Q71" s="151"/>
      <c r="R71" s="151"/>
      <c r="S71" s="151"/>
      <c r="T71" s="151"/>
      <c r="U71" s="151"/>
      <c r="V71" s="151"/>
      <c r="W71" s="151"/>
      <c r="X71" s="151"/>
      <c r="Y71" s="151"/>
    </row>
    <row r="72" spans="6:25" ht="12.75" hidden="1">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53285.90546450076</v>
      </c>
      <c r="I72" s="32">
        <f>K58</f>
        <v>53285.90546450076</v>
      </c>
      <c r="J72" s="138">
        <f t="shared" si="1"/>
        <v>0</v>
      </c>
      <c r="K72" s="352"/>
      <c r="L72" s="352"/>
      <c r="M72" s="483" t="s">
        <v>502</v>
      </c>
      <c r="N72" s="6">
        <f>'Table 3.23-CIOSS Summary'!I14</f>
        <v>90726.45384585991</v>
      </c>
      <c r="O72" s="6">
        <f t="shared" si="2"/>
        <v>90726.45384585988</v>
      </c>
      <c r="P72" s="515"/>
      <c r="Q72" s="151"/>
      <c r="R72" s="151"/>
      <c r="S72" s="151"/>
      <c r="T72" s="151"/>
      <c r="U72" s="151"/>
      <c r="V72" s="151"/>
      <c r="W72" s="151"/>
      <c r="X72" s="151"/>
      <c r="Y72" s="151"/>
    </row>
    <row r="73" spans="6:25" ht="12.75" hidden="1">
      <c r="F73" s="27"/>
      <c r="G73" s="342" t="s">
        <v>354</v>
      </c>
      <c r="H73" s="32"/>
      <c r="I73" s="32"/>
      <c r="J73" s="138">
        <f t="shared" si="1"/>
        <v>0</v>
      </c>
      <c r="K73" s="352"/>
      <c r="L73" s="352"/>
      <c r="M73" s="483" t="s">
        <v>503</v>
      </c>
      <c r="N73" s="6">
        <f>SUM('Table 3.25-REC Summary'!K14:K14)</f>
        <v>70064.50454530992</v>
      </c>
      <c r="O73" s="6">
        <f t="shared" si="2"/>
        <v>70064.50454530993</v>
      </c>
      <c r="P73" s="515"/>
      <c r="Q73" s="151"/>
      <c r="R73" s="151"/>
      <c r="S73" s="151"/>
      <c r="T73" s="151"/>
      <c r="U73" s="151"/>
      <c r="V73" s="151"/>
      <c r="W73" s="151"/>
      <c r="X73" s="151"/>
      <c r="Y73" s="151"/>
    </row>
    <row r="74" spans="6:25" ht="12.75" hidden="1">
      <c r="F74" s="27"/>
      <c r="G74" s="342"/>
      <c r="H74" s="32">
        <f>SUM(H69:H73)</f>
        <v>1551645.1211901107</v>
      </c>
      <c r="I74" s="32">
        <f>SUM(I69:I73)</f>
        <v>1551645.121190111</v>
      </c>
      <c r="J74" s="138">
        <f t="shared" si="1"/>
        <v>0</v>
      </c>
      <c r="K74" s="352"/>
      <c r="L74" s="352"/>
      <c r="M74" s="67" t="s">
        <v>518</v>
      </c>
      <c r="N74" s="6">
        <f>SUMPRODUCT('Table 3.29-UAA MP Units'!G6:G7,'Table 3.29-UAA MP Units'!G27:G28)</f>
        <v>792711.9221949672</v>
      </c>
      <c r="O74" s="6">
        <f t="shared" si="2"/>
        <v>792711.9221949675</v>
      </c>
      <c r="P74" s="515"/>
      <c r="Q74" s="151"/>
      <c r="R74" s="151"/>
      <c r="S74" s="151"/>
      <c r="T74" s="151"/>
      <c r="U74" s="151"/>
      <c r="V74" s="151"/>
      <c r="W74" s="151"/>
      <c r="X74" s="151"/>
      <c r="Y74" s="151"/>
    </row>
    <row r="75" spans="6:25" ht="12.75" hidden="1">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51448.96438702434</v>
      </c>
      <c r="O75" s="6">
        <f t="shared" si="2"/>
        <v>51448.964387024345</v>
      </c>
      <c r="P75" s="515"/>
      <c r="Q75" s="151"/>
      <c r="R75" s="151"/>
      <c r="S75" s="151"/>
      <c r="T75" s="151"/>
      <c r="U75" s="151"/>
      <c r="V75" s="151"/>
      <c r="W75" s="151"/>
      <c r="X75" s="151"/>
      <c r="Y75" s="151"/>
    </row>
    <row r="76" spans="7:25" ht="12.75" hidden="1">
      <c r="G76" s="48"/>
      <c r="H76" s="165"/>
      <c r="I76" s="165"/>
      <c r="J76" s="165"/>
      <c r="K76" s="352"/>
      <c r="L76" s="352"/>
      <c r="M76" s="46" t="s">
        <v>314</v>
      </c>
      <c r="N76" s="6">
        <f>SUM(N69:N75)</f>
        <v>1323815.7547674202</v>
      </c>
      <c r="O76" s="6">
        <f>SUM(O69:O75)</f>
        <v>1323815.7547674205</v>
      </c>
      <c r="P76" s="515"/>
      <c r="Q76" s="151"/>
      <c r="R76" s="151"/>
      <c r="S76" s="151"/>
      <c r="T76" s="151"/>
      <c r="U76" s="151"/>
      <c r="V76" s="151"/>
      <c r="W76" s="151"/>
      <c r="X76" s="151"/>
      <c r="Y76" s="151"/>
    </row>
    <row r="77" spans="2:25" ht="12.75">
      <c r="B77" s="283"/>
      <c r="C77" s="283"/>
      <c r="D77" s="283"/>
      <c r="E77" s="326"/>
      <c r="F77" s="326"/>
      <c r="G77" s="283"/>
      <c r="H77" s="283"/>
      <c r="I77" s="283"/>
      <c r="J77" s="283"/>
      <c r="K77" s="283"/>
      <c r="P77" s="151"/>
      <c r="Q77" s="151"/>
      <c r="R77" s="151"/>
      <c r="S77" s="151"/>
      <c r="T77" s="151"/>
      <c r="U77" s="151"/>
      <c r="V77" s="151"/>
      <c r="W77" s="151"/>
      <c r="X77" s="151"/>
      <c r="Y77" s="151"/>
    </row>
    <row r="78" spans="2:25" ht="12.75">
      <c r="B78" t="s">
        <v>235</v>
      </c>
      <c r="P78" s="608"/>
      <c r="Q78" s="151"/>
      <c r="R78" s="151"/>
      <c r="S78" s="151"/>
      <c r="T78" s="151"/>
      <c r="U78" s="151"/>
      <c r="V78" s="151"/>
      <c r="W78" s="151"/>
      <c r="X78" s="151"/>
      <c r="Y78" s="151"/>
    </row>
    <row r="79" spans="2:7" ht="12.75">
      <c r="B79" s="12" t="s">
        <v>568</v>
      </c>
      <c r="G79" s="12" t="s">
        <v>27</v>
      </c>
    </row>
    <row r="80" spans="2:7" ht="12.75">
      <c r="B80" s="12" t="s">
        <v>569</v>
      </c>
      <c r="G80" s="12" t="s">
        <v>573</v>
      </c>
    </row>
    <row r="81" spans="2:7" ht="12.75">
      <c r="B81" s="12" t="s">
        <v>570</v>
      </c>
      <c r="G81" s="12" t="s">
        <v>28</v>
      </c>
    </row>
    <row r="82" spans="2:7" ht="12.75">
      <c r="B82" s="13" t="s">
        <v>776</v>
      </c>
      <c r="G82" s="12" t="s">
        <v>29</v>
      </c>
    </row>
    <row r="83" spans="2:7" ht="12.75">
      <c r="B83" s="12" t="s">
        <v>777</v>
      </c>
      <c r="G83" s="12" t="s">
        <v>617</v>
      </c>
    </row>
    <row r="84" spans="2:7" ht="12.75">
      <c r="B84" s="12" t="s">
        <v>571</v>
      </c>
      <c r="G84" s="12" t="s">
        <v>47</v>
      </c>
    </row>
    <row r="85" ht="12.75">
      <c r="B85" s="12" t="s">
        <v>572</v>
      </c>
    </row>
  </sheetData>
  <sheetProtection/>
  <printOptions horizontalCentered="1"/>
  <pageMargins left="0.75" right="0.75" top="1" bottom="1" header="0.5" footer="0.5"/>
  <pageSetup fitToHeight="1" fitToWidth="1" horizontalDpi="600" verticalDpi="600" orientation="landscape" scale="56" r:id="rId3"/>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sheetPr codeName="Sheet54"/>
  <dimension ref="A1:S136"/>
  <sheetViews>
    <sheetView zoomScale="70" zoomScaleNormal="70" zoomScalePageLayoutView="0" workbookViewId="0" topLeftCell="A1">
      <selection activeCell="A1" sqref="A1"/>
    </sheetView>
  </sheetViews>
  <sheetFormatPr defaultColWidth="9.140625" defaultRowHeight="12.75"/>
  <cols>
    <col min="1" max="1" width="31.57421875" style="11" customWidth="1"/>
    <col min="2" max="2" width="11.7109375" style="0" customWidth="1"/>
    <col min="3" max="3" width="2.7109375" style="0" customWidth="1"/>
    <col min="4" max="4" width="11.7109375" style="64" customWidth="1"/>
    <col min="5" max="5" width="2.7109375" style="64" customWidth="1"/>
    <col min="6" max="6" width="11.7109375" style="64" customWidth="1"/>
    <col min="7" max="7" width="2.7109375" style="64" customWidth="1"/>
    <col min="8" max="8" width="11.7109375" style="78" customWidth="1"/>
    <col min="9" max="9" width="2.7109375" style="78" customWidth="1"/>
    <col min="10" max="11" width="11.7109375" style="64" customWidth="1"/>
    <col min="12" max="16384" width="9.140625" style="11" customWidth="1"/>
  </cols>
  <sheetData>
    <row r="1" spans="1:11" ht="15.75" customHeight="1">
      <c r="A1" s="158" t="s">
        <v>559</v>
      </c>
      <c r="D1" s="24"/>
      <c r="E1" s="24"/>
      <c r="F1" s="24"/>
      <c r="G1" s="24"/>
      <c r="H1" s="24"/>
      <c r="I1" s="24"/>
      <c r="J1" s="24"/>
      <c r="K1" s="24"/>
    </row>
    <row r="2" spans="1:11" ht="15">
      <c r="A2" s="158" t="s">
        <v>787</v>
      </c>
      <c r="D2" s="24"/>
      <c r="E2" s="24"/>
      <c r="F2" s="24"/>
      <c r="G2" s="24"/>
      <c r="H2" s="24"/>
      <c r="I2" s="24"/>
      <c r="J2" s="24"/>
      <c r="K2" s="24"/>
    </row>
    <row r="3" spans="1:11" ht="25.5" customHeight="1">
      <c r="A3" s="89"/>
      <c r="B3" s="168" t="s">
        <v>222</v>
      </c>
      <c r="C3" s="168"/>
      <c r="D3" s="189" t="s">
        <v>217</v>
      </c>
      <c r="E3" s="189"/>
      <c r="F3" s="198" t="s">
        <v>104</v>
      </c>
      <c r="G3" s="198"/>
      <c r="H3" s="199" t="s">
        <v>251</v>
      </c>
      <c r="I3" s="199"/>
      <c r="J3" s="160" t="s">
        <v>218</v>
      </c>
      <c r="K3" s="41" t="s">
        <v>133</v>
      </c>
    </row>
    <row r="4" spans="1:11" ht="15">
      <c r="A4" s="158" t="s">
        <v>434</v>
      </c>
      <c r="B4" s="168"/>
      <c r="C4" s="168"/>
      <c r="D4" s="189"/>
      <c r="E4" s="189"/>
      <c r="F4" s="198"/>
      <c r="G4" s="198"/>
      <c r="H4" s="199"/>
      <c r="I4" s="199"/>
      <c r="J4" s="160"/>
      <c r="K4" s="41"/>
    </row>
    <row r="5" spans="1:11" ht="4.5" customHeight="1">
      <c r="A5" s="158"/>
      <c r="B5" s="168"/>
      <c r="C5" s="168"/>
      <c r="D5" s="189"/>
      <c r="E5" s="189"/>
      <c r="F5" s="198"/>
      <c r="G5" s="198"/>
      <c r="H5" s="199"/>
      <c r="I5" s="199"/>
      <c r="J5" s="160"/>
      <c r="K5" s="41"/>
    </row>
    <row r="6" spans="1:11" ht="12.75">
      <c r="A6" s="453" t="s">
        <v>291</v>
      </c>
      <c r="B6" s="168"/>
      <c r="C6" s="168"/>
      <c r="D6" s="189"/>
      <c r="E6" s="189"/>
      <c r="F6" s="198"/>
      <c r="G6" s="198"/>
      <c r="H6" s="199"/>
      <c r="I6" s="199"/>
      <c r="J6" s="160"/>
      <c r="K6" s="41"/>
    </row>
    <row r="7" spans="1:11" ht="12.75">
      <c r="A7" s="82" t="s">
        <v>173</v>
      </c>
      <c r="B7" s="6"/>
      <c r="C7" s="6"/>
      <c r="D7" s="52"/>
      <c r="E7" s="52"/>
      <c r="F7" s="86"/>
      <c r="G7" s="86"/>
      <c r="H7" s="104"/>
      <c r="I7" s="54"/>
      <c r="J7" s="39"/>
      <c r="K7" s="88"/>
    </row>
    <row r="8" spans="1:11" ht="12.75">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1.7618940786298556</v>
      </c>
      <c r="I8" s="54"/>
      <c r="J8" s="46">
        <f>D8*$H8</f>
        <v>0</v>
      </c>
      <c r="K8" s="83" t="str">
        <f>IF(ISERROR(J8/B8),"n/a",J8/B8)</f>
        <v>n/a</v>
      </c>
    </row>
    <row r="9" spans="1:11" ht="12.75">
      <c r="A9" s="338" t="s">
        <v>292</v>
      </c>
      <c r="B9" s="105">
        <f>SUM('Table 3.20-CFS Non-CIOSS'!B8,'Table 3.20-CFS Non-CIOSS'!B13,'Table 3.20-CFS Non-CIOSS'!B18)</f>
        <v>110281.42185395375</v>
      </c>
      <c r="C9" s="292" t="s">
        <v>238</v>
      </c>
      <c r="D9" s="196">
        <f>SUM('Table 3.20-CFS Non-CIOSS'!C8,'Table 3.20-CFS Non-CIOSS'!C13,'Table 3.20-CFS Non-CIOSS'!C18)</f>
        <v>17709.586648575547</v>
      </c>
      <c r="E9" s="292" t="s">
        <v>238</v>
      </c>
      <c r="F9" s="83">
        <f>IF(ISERROR(D9/B9),"n/a",D9/B9)</f>
        <v>0.16058540369590485</v>
      </c>
      <c r="G9" s="92"/>
      <c r="H9" s="54">
        <v>1.7618940786298556</v>
      </c>
      <c r="I9" s="54"/>
      <c r="J9" s="46">
        <f>D9*$H9</f>
        <v>31202.415851107606</v>
      </c>
      <c r="K9" s="83">
        <f>IF(ISERROR(J9/B9),"n/a",J9/B9)</f>
        <v>0.2829344718861997</v>
      </c>
    </row>
    <row r="10" spans="1:11" ht="4.5" customHeight="1">
      <c r="A10" s="89"/>
      <c r="B10" s="200"/>
      <c r="C10" s="200"/>
      <c r="D10" s="204"/>
      <c r="E10" s="200"/>
      <c r="F10" s="201"/>
      <c r="G10" s="198"/>
      <c r="H10" s="199"/>
      <c r="I10" s="199"/>
      <c r="J10" s="205"/>
      <c r="K10" s="83"/>
    </row>
    <row r="11" spans="1:11" ht="12.75">
      <c r="A11" s="82" t="s">
        <v>176</v>
      </c>
      <c r="B11" s="135"/>
      <c r="C11" s="135"/>
      <c r="D11" s="196"/>
      <c r="E11" s="135"/>
      <c r="F11" s="92"/>
      <c r="G11" s="48"/>
      <c r="H11" s="48"/>
      <c r="I11" s="48"/>
      <c r="J11" s="196"/>
      <c r="K11" s="92"/>
    </row>
    <row r="12" spans="1:11" ht="12.75">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1.7618940786298556</v>
      </c>
      <c r="I12" s="54"/>
      <c r="J12" s="46">
        <f>D12*$H12</f>
        <v>0</v>
      </c>
      <c r="K12" s="83" t="str">
        <f>IF(ISERROR(J12/B12),"n/a",J12/B12)</f>
        <v>n/a</v>
      </c>
    </row>
    <row r="13" spans="1:11" ht="12.75">
      <c r="A13" s="338" t="s">
        <v>292</v>
      </c>
      <c r="B13" s="105">
        <f>SUM('Table 3.20-CFS Non-CIOSS'!B24,'Table 3.20-CFS Non-CIOSS'!B29,'Table 3.20-CFS Non-CIOSS'!B34)</f>
        <v>54271.015951805355</v>
      </c>
      <c r="C13" s="292" t="s">
        <v>238</v>
      </c>
      <c r="D13" s="196">
        <f>SUM('Table 3.20-CFS Non-CIOSS'!C24,'Table 3.20-CFS Non-CIOSS'!C29,'Table 3.20-CFS Non-CIOSS'!C34)</f>
        <v>15979.191073040387</v>
      </c>
      <c r="E13" s="292" t="s">
        <v>238</v>
      </c>
      <c r="F13" s="83">
        <f>IF(ISERROR(D13/B13),"n/a",D13/B13)</f>
        <v>0.29443324015217426</v>
      </c>
      <c r="G13" s="92"/>
      <c r="H13" s="54">
        <v>1.7618940786298556</v>
      </c>
      <c r="I13" s="54"/>
      <c r="J13" s="46">
        <f>D13*$H13</f>
        <v>28153.642132884906</v>
      </c>
      <c r="K13" s="83">
        <f>IF(ISERROR(J13/B13),"n/a",J13/B13)</f>
        <v>0.5187601823759181</v>
      </c>
    </row>
    <row r="14" spans="1:11" ht="4.5" customHeight="1">
      <c r="A14" s="89"/>
      <c r="B14" s="200"/>
      <c r="C14" s="200"/>
      <c r="D14" s="204"/>
      <c r="E14" s="204"/>
      <c r="F14" s="201"/>
      <c r="G14" s="198"/>
      <c r="H14" s="199"/>
      <c r="I14" s="199"/>
      <c r="J14" s="205"/>
      <c r="K14" s="83"/>
    </row>
    <row r="15" spans="1:11" ht="12.75">
      <c r="A15" s="338" t="s">
        <v>177</v>
      </c>
      <c r="B15" s="44">
        <f>SUM(B8:B9)</f>
        <v>110281.42185395375</v>
      </c>
      <c r="C15" s="44"/>
      <c r="D15" s="196">
        <f>SUM(D8:D9)</f>
        <v>17709.586648575547</v>
      </c>
      <c r="E15" s="196"/>
      <c r="F15" s="83">
        <f>IF(ISERROR(D15/B15),"n/a",D15/B15)</f>
        <v>0.16058540369590485</v>
      </c>
      <c r="G15" s="41"/>
      <c r="H15" s="75"/>
      <c r="I15" s="75"/>
      <c r="J15" s="46">
        <f>SUM(J8:J9)</f>
        <v>31202.415851107606</v>
      </c>
      <c r="K15" s="83">
        <f>IF(ISERROR(J15/B15),"n/a",J15/B15)</f>
        <v>0.2829344718861997</v>
      </c>
    </row>
    <row r="16" spans="1:11" ht="12.75">
      <c r="A16" s="338" t="s">
        <v>178</v>
      </c>
      <c r="B16" s="44">
        <f>SUM(B12:B13)</f>
        <v>54271.015951805355</v>
      </c>
      <c r="C16" s="44"/>
      <c r="D16" s="196">
        <f>SUM(D12:D13)</f>
        <v>15979.191073040387</v>
      </c>
      <c r="E16" s="196"/>
      <c r="F16" s="83">
        <f>IF(ISERROR(D16/B16),"n/a",D16/B16)</f>
        <v>0.29443324015217426</v>
      </c>
      <c r="G16" s="202"/>
      <c r="H16" s="203"/>
      <c r="I16" s="203"/>
      <c r="J16" s="46">
        <f>SUM(J12:J13)</f>
        <v>28153.642132884906</v>
      </c>
      <c r="K16" s="83">
        <f>IF(ISERROR(J16/B16),"n/a",J16/B16)</f>
        <v>0.5187601823759181</v>
      </c>
    </row>
    <row r="17" spans="1:11" ht="12.75">
      <c r="A17" s="338" t="s">
        <v>102</v>
      </c>
      <c r="B17" s="44">
        <f>B15</f>
        <v>110281.42185395375</v>
      </c>
      <c r="C17" s="44"/>
      <c r="D17" s="196">
        <f>SUM(D16,D15)</f>
        <v>33688.77772161593</v>
      </c>
      <c r="E17" s="196"/>
      <c r="F17" s="83">
        <f>IF(ISERROR(D17/B17),"n/a",D17/B17)</f>
        <v>0.30548008137064236</v>
      </c>
      <c r="G17" s="41"/>
      <c r="H17" s="75"/>
      <c r="I17" s="75"/>
      <c r="J17" s="46">
        <f>SUM(J16,J15)</f>
        <v>59356.05798399251</v>
      </c>
      <c r="K17" s="83">
        <f>IF(ISERROR(J17/B17),"n/a",J17/B17)</f>
        <v>0.5382235465063013</v>
      </c>
    </row>
    <row r="18" spans="1:11" ht="12.75">
      <c r="A18" s="16"/>
      <c r="B18" s="44"/>
      <c r="C18" s="44"/>
      <c r="D18" s="196"/>
      <c r="E18" s="196"/>
      <c r="F18" s="83"/>
      <c r="G18" s="41"/>
      <c r="H18" s="75"/>
      <c r="I18" s="75"/>
      <c r="J18" s="46"/>
      <c r="K18" s="83"/>
    </row>
    <row r="19" spans="1:19" ht="12.75">
      <c r="A19" s="15" t="s">
        <v>782</v>
      </c>
      <c r="B19" s="44"/>
      <c r="C19" s="285"/>
      <c r="D19" s="196"/>
      <c r="E19" s="285"/>
      <c r="F19" s="83"/>
      <c r="G19" s="41"/>
      <c r="H19" s="54"/>
      <c r="I19" s="75"/>
      <c r="J19" s="46"/>
      <c r="K19" s="83"/>
      <c r="M19" s="140"/>
      <c r="N19" s="140"/>
      <c r="O19" s="140"/>
      <c r="P19" s="140"/>
      <c r="Q19" s="140"/>
      <c r="R19" s="140"/>
      <c r="S19" s="140"/>
    </row>
    <row r="20" spans="1:19" ht="12.75">
      <c r="A20" s="82" t="s">
        <v>173</v>
      </c>
      <c r="B20" s="44"/>
      <c r="C20" s="285"/>
      <c r="D20" s="196"/>
      <c r="E20" s="285"/>
      <c r="F20" s="83"/>
      <c r="G20" s="41"/>
      <c r="H20" s="54"/>
      <c r="I20" s="75"/>
      <c r="J20" s="46"/>
      <c r="K20" s="83"/>
      <c r="M20" s="140"/>
      <c r="N20" s="140"/>
      <c r="O20" s="140"/>
      <c r="P20" s="140"/>
      <c r="Q20" s="140"/>
      <c r="R20" s="140"/>
      <c r="S20" s="140"/>
    </row>
    <row r="21" spans="1:19" ht="12.75">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1.7618940786298556</v>
      </c>
      <c r="I21" s="75"/>
      <c r="J21" s="46">
        <f>D21*$H21</f>
        <v>0</v>
      </c>
      <c r="K21" s="83" t="str">
        <f>IF(ISERROR(J21/B21),"n/a",J21/B21)</f>
        <v>n/a</v>
      </c>
      <c r="M21" s="140"/>
      <c r="N21" s="140"/>
      <c r="O21" s="140"/>
      <c r="P21" s="140"/>
      <c r="Q21" s="140"/>
      <c r="R21" s="140"/>
      <c r="S21" s="140"/>
    </row>
    <row r="22" spans="1:19" ht="12.75">
      <c r="A22" s="338" t="s">
        <v>292</v>
      </c>
      <c r="B22" s="44">
        <f>SUM('Table 3.20-CFS Non-CIOSS'!B70,'Table 3.20-CFS Non-CIOSS'!B75)</f>
        <v>41670.02618250581</v>
      </c>
      <c r="C22" s="292" t="s">
        <v>238</v>
      </c>
      <c r="D22" s="196">
        <f>SUM('Table 3.20-CFS Non-CIOSS'!C70,'Table 3.20-CFS Non-CIOSS'!C75)</f>
        <v>537.3784669949628</v>
      </c>
      <c r="E22" s="292" t="s">
        <v>238</v>
      </c>
      <c r="F22" s="83">
        <f>IF(ISERROR(D22/B22),"n/a",D22/B22)</f>
        <v>0.01289604342078788</v>
      </c>
      <c r="G22" s="41"/>
      <c r="H22" s="54">
        <v>1.7618940786298556</v>
      </c>
      <c r="I22" s="75"/>
      <c r="J22" s="46">
        <f>D22*$H22</f>
        <v>946.8039389816141</v>
      </c>
      <c r="K22" s="83">
        <f>IF(ISERROR(J22/B22),"n/a",J22/B22)</f>
        <v>0.022721462540839673</v>
      </c>
      <c r="M22" s="140"/>
      <c r="N22" s="140"/>
      <c r="O22" s="140"/>
      <c r="P22" s="140"/>
      <c r="Q22" s="140"/>
      <c r="R22" s="140"/>
      <c r="S22" s="140"/>
    </row>
    <row r="23" spans="1:19" ht="4.5" customHeight="1">
      <c r="A23" s="89"/>
      <c r="B23" s="44"/>
      <c r="C23" s="285"/>
      <c r="D23" s="44"/>
      <c r="E23" s="285"/>
      <c r="F23" s="83"/>
      <c r="G23" s="41"/>
      <c r="H23" s="54"/>
      <c r="I23" s="75"/>
      <c r="J23" s="44"/>
      <c r="K23" s="83"/>
      <c r="M23" s="140"/>
      <c r="N23" s="140"/>
      <c r="O23" s="140"/>
      <c r="P23" s="140"/>
      <c r="Q23" s="140"/>
      <c r="R23" s="140"/>
      <c r="S23" s="140"/>
    </row>
    <row r="24" spans="1:19" ht="12.75">
      <c r="A24" s="82" t="s">
        <v>176</v>
      </c>
      <c r="B24" s="44"/>
      <c r="C24" s="285"/>
      <c r="D24" s="44"/>
      <c r="E24" s="285"/>
      <c r="F24" s="83"/>
      <c r="G24" s="41"/>
      <c r="H24" s="54"/>
      <c r="I24" s="75"/>
      <c r="J24" s="44"/>
      <c r="K24" s="83"/>
      <c r="M24" s="140"/>
      <c r="N24" s="140"/>
      <c r="O24" s="140"/>
      <c r="P24" s="140"/>
      <c r="Q24" s="140"/>
      <c r="R24" s="140"/>
      <c r="S24" s="140"/>
    </row>
    <row r="25" spans="1:19" ht="12.75">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1.7618940786298556</v>
      </c>
      <c r="I25" s="75"/>
      <c r="J25" s="46">
        <f>D25*$H25</f>
        <v>0</v>
      </c>
      <c r="K25" s="83" t="str">
        <f>IF(ISERROR(J25/B25),"n/a",J25/B25)</f>
        <v>n/a</v>
      </c>
      <c r="M25" s="140"/>
      <c r="N25" s="140"/>
      <c r="O25" s="140"/>
      <c r="P25" s="140"/>
      <c r="Q25" s="140"/>
      <c r="R25" s="140"/>
      <c r="S25" s="140"/>
    </row>
    <row r="26" spans="1:19" ht="12.75">
      <c r="A26" s="338" t="s">
        <v>292</v>
      </c>
      <c r="B26" s="44">
        <f>SUM('Table 3.20-CFS Non-CIOSS'!B81,'Table 3.20-CFS Non-CIOSS'!B86)</f>
        <v>41670.02618250581</v>
      </c>
      <c r="C26" s="292" t="s">
        <v>238</v>
      </c>
      <c r="D26" s="196">
        <f>SUM('Table 3.20-CFS Non-CIOSS'!C81,'Table 3.20-CFS Non-CIOSS'!C86)</f>
        <v>9848.046925495004</v>
      </c>
      <c r="E26" s="292" t="s">
        <v>238</v>
      </c>
      <c r="F26" s="83">
        <f>IF(ISERROR(D26/B26),"n/a",D26/B26)</f>
        <v>0.23633407097856532</v>
      </c>
      <c r="G26" s="41"/>
      <c r="H26" s="54">
        <v>1.7618940786298556</v>
      </c>
      <c r="I26" s="75"/>
      <c r="J26" s="46">
        <f>D26*$H26</f>
        <v>17351.215564098602</v>
      </c>
      <c r="K26" s="83">
        <f>IF(ISERROR(J26/B26),"n/a",J26/B26)</f>
        <v>0.4163956002356222</v>
      </c>
      <c r="M26" s="140"/>
      <c r="N26" s="140"/>
      <c r="O26" s="140"/>
      <c r="P26" s="140"/>
      <c r="Q26" s="140"/>
      <c r="R26" s="140"/>
      <c r="S26" s="140"/>
    </row>
    <row r="27" spans="1:19" ht="4.5" customHeight="1">
      <c r="A27" s="89"/>
      <c r="B27" s="44"/>
      <c r="C27" s="285"/>
      <c r="D27" s="196"/>
      <c r="E27" s="285"/>
      <c r="F27" s="83"/>
      <c r="G27" s="41"/>
      <c r="H27" s="54"/>
      <c r="I27" s="75"/>
      <c r="J27" s="46"/>
      <c r="K27" s="83"/>
      <c r="M27" s="140"/>
      <c r="N27" s="140"/>
      <c r="O27" s="140"/>
      <c r="P27" s="140"/>
      <c r="Q27" s="140"/>
      <c r="R27" s="140"/>
      <c r="S27" s="140"/>
    </row>
    <row r="28" spans="1:19" ht="12.75">
      <c r="A28" s="338" t="s">
        <v>177</v>
      </c>
      <c r="B28" s="44">
        <f>SUM(B21:B22)</f>
        <v>41670.02618250581</v>
      </c>
      <c r="C28" s="285"/>
      <c r="D28" s="196">
        <f>SUM(D21:D22)</f>
        <v>537.3784669949628</v>
      </c>
      <c r="E28" s="285"/>
      <c r="F28" s="83">
        <f>IF(ISERROR(D28/B28),"n/a",D28/B28)</f>
        <v>0.01289604342078788</v>
      </c>
      <c r="G28" s="41"/>
      <c r="H28" s="54">
        <v>1.7618940786298556</v>
      </c>
      <c r="I28" s="75"/>
      <c r="J28" s="46">
        <f>D28*$H28</f>
        <v>946.8039389816141</v>
      </c>
      <c r="K28" s="83">
        <f>IF(ISERROR(J28/B28),"n/a",J28/B28)</f>
        <v>0.022721462540839673</v>
      </c>
      <c r="M28" s="140"/>
      <c r="N28" s="140"/>
      <c r="O28" s="140"/>
      <c r="P28" s="140"/>
      <c r="Q28" s="140"/>
      <c r="R28" s="140"/>
      <c r="S28" s="140"/>
    </row>
    <row r="29" spans="1:19" ht="12.75">
      <c r="A29" s="338" t="s">
        <v>178</v>
      </c>
      <c r="B29" s="44">
        <f>SUM(B25:B26)</f>
        <v>41670.02618250581</v>
      </c>
      <c r="C29" s="285"/>
      <c r="D29" s="196">
        <f>SUM(D25:D26)</f>
        <v>9848.046925495004</v>
      </c>
      <c r="E29" s="285"/>
      <c r="F29" s="83">
        <f>IF(ISERROR(D29/B29),"n/a",D29/B29)</f>
        <v>0.23633407097856532</v>
      </c>
      <c r="G29" s="41"/>
      <c r="H29" s="54">
        <v>1.7618940786298556</v>
      </c>
      <c r="I29" s="75"/>
      <c r="J29" s="46">
        <f>D29*$H29</f>
        <v>17351.215564098602</v>
      </c>
      <c r="K29" s="83">
        <f>IF(ISERROR(J29/B29),"n/a",J29/B29)</f>
        <v>0.4163956002356222</v>
      </c>
      <c r="M29" s="140"/>
      <c r="N29" s="140"/>
      <c r="O29" s="140"/>
      <c r="P29" s="140"/>
      <c r="Q29" s="140"/>
      <c r="R29" s="140"/>
      <c r="S29" s="140"/>
    </row>
    <row r="30" spans="1:13" ht="12.75" customHeight="1">
      <c r="A30" s="338" t="s">
        <v>102</v>
      </c>
      <c r="B30" s="44">
        <f>B29</f>
        <v>41670.02618250581</v>
      </c>
      <c r="C30" s="285"/>
      <c r="D30" s="196">
        <f>SUM(D28:D29)</f>
        <v>10385.425392489968</v>
      </c>
      <c r="E30" s="285"/>
      <c r="F30" s="83">
        <f>IF(ISERROR(D30/B30),"n/a",D30/B30)</f>
        <v>0.24923011439935322</v>
      </c>
      <c r="G30" s="41"/>
      <c r="H30" s="54"/>
      <c r="I30" s="75"/>
      <c r="J30" s="46">
        <f>SUM(J28:J29)</f>
        <v>18298.019503080217</v>
      </c>
      <c r="K30" s="83">
        <f>IF(ISERROR(J30/B30),"n/a",J30/B30)</f>
        <v>0.43911706277646195</v>
      </c>
      <c r="M30" s="140"/>
    </row>
    <row r="31" spans="1:13" ht="12.75" customHeight="1">
      <c r="A31" s="343"/>
      <c r="B31" s="44"/>
      <c r="C31" s="285"/>
      <c r="D31" s="196"/>
      <c r="E31" s="285"/>
      <c r="F31" s="83"/>
      <c r="G31" s="41"/>
      <c r="H31" s="54"/>
      <c r="I31" s="75"/>
      <c r="J31" s="46"/>
      <c r="K31" s="83"/>
      <c r="M31" s="140"/>
    </row>
    <row r="32" spans="1:13" ht="15.75" customHeight="1">
      <c r="A32" s="158" t="s">
        <v>647</v>
      </c>
      <c r="D32" s="24"/>
      <c r="E32" s="24"/>
      <c r="F32" s="24"/>
      <c r="G32" s="24"/>
      <c r="H32" s="24"/>
      <c r="I32" s="24"/>
      <c r="J32" s="24"/>
      <c r="K32" s="24"/>
      <c r="M32" s="140"/>
    </row>
    <row r="33" spans="1:13" ht="15.75" customHeight="1">
      <c r="A33" s="158" t="s">
        <v>787</v>
      </c>
      <c r="D33" s="24"/>
      <c r="E33" s="24"/>
      <c r="F33" s="24"/>
      <c r="G33" s="24"/>
      <c r="H33" s="24"/>
      <c r="I33" s="24"/>
      <c r="J33" s="24"/>
      <c r="K33" s="24"/>
      <c r="M33" s="140"/>
    </row>
    <row r="34" spans="1:13" ht="25.5" customHeight="1">
      <c r="A34" s="89"/>
      <c r="B34" s="168" t="s">
        <v>222</v>
      </c>
      <c r="C34" s="168"/>
      <c r="D34" s="189" t="s">
        <v>217</v>
      </c>
      <c r="E34" s="189"/>
      <c r="F34" s="198" t="s">
        <v>104</v>
      </c>
      <c r="G34" s="198"/>
      <c r="H34" s="199" t="s">
        <v>251</v>
      </c>
      <c r="I34" s="199"/>
      <c r="J34" s="160" t="s">
        <v>218</v>
      </c>
      <c r="K34" s="41" t="s">
        <v>133</v>
      </c>
      <c r="M34" s="140"/>
    </row>
    <row r="35" spans="1:13" ht="15">
      <c r="A35" s="158" t="s">
        <v>435</v>
      </c>
      <c r="B35" s="168"/>
      <c r="C35" s="168"/>
      <c r="D35" s="189"/>
      <c r="E35" s="189"/>
      <c r="F35" s="198"/>
      <c r="G35" s="198"/>
      <c r="H35" s="199"/>
      <c r="I35" s="199"/>
      <c r="J35" s="160"/>
      <c r="K35" s="41"/>
      <c r="M35" s="140"/>
    </row>
    <row r="36" spans="1:13" ht="4.5" customHeight="1">
      <c r="A36" s="158"/>
      <c r="B36" s="168"/>
      <c r="C36" s="168"/>
      <c r="D36" s="189"/>
      <c r="E36" s="189"/>
      <c r="F36" s="198"/>
      <c r="G36" s="198"/>
      <c r="H36" s="199"/>
      <c r="I36" s="199"/>
      <c r="J36" s="160"/>
      <c r="K36" s="41"/>
      <c r="M36" s="140"/>
    </row>
    <row r="37" spans="1:13" ht="12.75">
      <c r="A37" s="453" t="s">
        <v>291</v>
      </c>
      <c r="B37" s="168"/>
      <c r="C37" s="168"/>
      <c r="D37" s="189"/>
      <c r="E37" s="189"/>
      <c r="F37" s="198"/>
      <c r="G37" s="198"/>
      <c r="H37" s="199"/>
      <c r="I37" s="199"/>
      <c r="J37" s="160"/>
      <c r="K37" s="41"/>
      <c r="M37" s="140"/>
    </row>
    <row r="38" spans="1:13" ht="12.75">
      <c r="A38" s="82" t="s">
        <v>173</v>
      </c>
      <c r="B38" s="6"/>
      <c r="C38" s="6"/>
      <c r="D38" s="52"/>
      <c r="E38" s="52"/>
      <c r="F38" s="86"/>
      <c r="G38" s="86"/>
      <c r="H38" s="104"/>
      <c r="I38" s="54"/>
      <c r="J38" s="39"/>
      <c r="K38" s="88"/>
      <c r="M38" s="140"/>
    </row>
    <row r="39" spans="1:13" ht="12.75">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1.7618940786298556</v>
      </c>
      <c r="I39" s="54"/>
      <c r="J39" s="46">
        <f>D39*$H39</f>
        <v>0</v>
      </c>
      <c r="K39" s="83" t="str">
        <f>IF(ISERROR(J39/B39),"n/a",J39/B39)</f>
        <v>n/a</v>
      </c>
      <c r="M39" s="140"/>
    </row>
    <row r="40" spans="1:13" ht="12.75">
      <c r="A40" s="338" t="s">
        <v>292</v>
      </c>
      <c r="B40" s="105">
        <f>SUM('Table 3.21-CFS CIOSS Rejs'!B8,'Table 3.21-CFS CIOSS Rejs'!B13,'Table 3.21-CFS CIOSS Rejs'!B18)</f>
        <v>44622.251117696374</v>
      </c>
      <c r="C40" s="292" t="s">
        <v>240</v>
      </c>
      <c r="D40" s="196">
        <f>SUM('Table 3.21-CFS CIOSS Rejs'!C8,'Table 3.21-CFS CIOSS Rejs'!C13,'Table 3.21-CFS CIOSS Rejs'!C18)</f>
        <v>7144.587477680779</v>
      </c>
      <c r="E40" s="292" t="s">
        <v>240</v>
      </c>
      <c r="F40" s="83">
        <f>IF(ISERROR(D40/B40),"n/a",D40/B40)</f>
        <v>0.1601126634968751</v>
      </c>
      <c r="G40" s="92"/>
      <c r="H40" s="54">
        <v>1.7618940786298556</v>
      </c>
      <c r="I40" s="54"/>
      <c r="J40" s="46">
        <f>D40*$H40</f>
        <v>12588.006371178779</v>
      </c>
      <c r="K40" s="83">
        <f>IF(ISERROR(J40/B40),"n/a",J40/B40)</f>
        <v>0.28210155372879886</v>
      </c>
      <c r="M40" s="140"/>
    </row>
    <row r="41" spans="1:13" ht="4.5" customHeight="1">
      <c r="A41" s="89"/>
      <c r="B41" s="200"/>
      <c r="C41" s="200"/>
      <c r="D41" s="204"/>
      <c r="E41" s="200"/>
      <c r="F41" s="201"/>
      <c r="G41" s="198"/>
      <c r="H41" s="199"/>
      <c r="I41" s="199"/>
      <c r="J41" s="205"/>
      <c r="K41" s="83"/>
      <c r="M41" s="140"/>
    </row>
    <row r="42" spans="1:13" ht="12.75">
      <c r="A42" s="82" t="s">
        <v>176</v>
      </c>
      <c r="B42" s="135"/>
      <c r="C42" s="135"/>
      <c r="D42" s="196"/>
      <c r="E42" s="135"/>
      <c r="F42" s="92"/>
      <c r="G42" s="48"/>
      <c r="H42" s="48"/>
      <c r="I42" s="48"/>
      <c r="J42" s="196"/>
      <c r="K42" s="92"/>
      <c r="M42" s="140"/>
    </row>
    <row r="43" spans="1:13" ht="12.75">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1.7618940786298556</v>
      </c>
      <c r="I43" s="54"/>
      <c r="J43" s="46">
        <f>D43*$H43</f>
        <v>0</v>
      </c>
      <c r="K43" s="83" t="str">
        <f>IF(ISERROR(J43/B43),"n/a",J43/B43)</f>
        <v>n/a</v>
      </c>
      <c r="M43" s="140"/>
    </row>
    <row r="44" spans="1:13" ht="12.75">
      <c r="A44" s="338" t="s">
        <v>292</v>
      </c>
      <c r="B44" s="105">
        <f>SUM('Table 3.21-CFS CIOSS Rejs'!B24,'Table 3.21-CFS CIOSS Rejs'!B29,'Table 3.21-CFS CIOSS Rejs'!B34)</f>
        <v>3543.82032</v>
      </c>
      <c r="C44" s="292" t="s">
        <v>240</v>
      </c>
      <c r="D44" s="196">
        <f>SUM('Table 3.21-CFS CIOSS Rejs'!C24,'Table 3.21-CFS CIOSS Rejs'!C29,'Table 3.21-CFS CIOSS Rejs'!C34)</f>
        <v>1043.4184993347153</v>
      </c>
      <c r="E44" s="292" t="s">
        <v>240</v>
      </c>
      <c r="F44" s="83">
        <f>IF(ISERROR(D44/B44),"n/a",D44/B44)</f>
        <v>0.29443324015217437</v>
      </c>
      <c r="G44" s="92"/>
      <c r="H44" s="54">
        <v>1.7618940786298556</v>
      </c>
      <c r="I44" s="54"/>
      <c r="J44" s="46">
        <f>D44*$H44</f>
        <v>1838.392875510685</v>
      </c>
      <c r="K44" s="83">
        <f>IF(ISERROR(J44/B44),"n/a",J44/B44)</f>
        <v>0.5187601823759183</v>
      </c>
      <c r="M44" s="140"/>
    </row>
    <row r="45" spans="1:13" ht="4.5" customHeight="1">
      <c r="A45" s="89"/>
      <c r="B45" s="200"/>
      <c r="C45" s="200"/>
      <c r="D45" s="204"/>
      <c r="E45" s="200"/>
      <c r="F45" s="201"/>
      <c r="G45" s="198"/>
      <c r="H45" s="199"/>
      <c r="I45" s="199"/>
      <c r="J45" s="205"/>
      <c r="K45" s="83"/>
      <c r="M45" s="140"/>
    </row>
    <row r="46" spans="1:13" ht="12.75">
      <c r="A46" s="338" t="s">
        <v>177</v>
      </c>
      <c r="B46" s="44">
        <f>SUM(B39:B40)</f>
        <v>44622.251117696374</v>
      </c>
      <c r="C46" s="44"/>
      <c r="D46" s="196">
        <f>SUM(D39:D40)</f>
        <v>7144.587477680779</v>
      </c>
      <c r="E46" s="44"/>
      <c r="F46" s="83">
        <f>IF(ISERROR(D46/B46),"n/a",D46/B46)</f>
        <v>0.1601126634968751</v>
      </c>
      <c r="G46" s="41"/>
      <c r="H46" s="75"/>
      <c r="I46" s="75"/>
      <c r="J46" s="46">
        <f>SUM(J39:J40)</f>
        <v>12588.006371178779</v>
      </c>
      <c r="K46" s="83">
        <f>IF(ISERROR(J46/B46),"n/a",J46/B46)</f>
        <v>0.28210155372879886</v>
      </c>
      <c r="M46" s="140"/>
    </row>
    <row r="47" spans="1:13" ht="12.75">
      <c r="A47" s="338" t="s">
        <v>178</v>
      </c>
      <c r="B47" s="44">
        <f>SUM(B43:B44)</f>
        <v>3543.82032</v>
      </c>
      <c r="C47" s="44"/>
      <c r="D47" s="196">
        <f>SUM(D43:D44)</f>
        <v>1043.4184993347153</v>
      </c>
      <c r="E47" s="44"/>
      <c r="F47" s="83">
        <f>IF(ISERROR(D47/B47),"n/a",D47/B47)</f>
        <v>0.29443324015217437</v>
      </c>
      <c r="G47" s="202"/>
      <c r="H47" s="203"/>
      <c r="I47" s="203"/>
      <c r="J47" s="46">
        <f>SUM(J43:J44)</f>
        <v>1838.392875510685</v>
      </c>
      <c r="K47" s="83">
        <f>IF(ISERROR(J47/B47),"n/a",J47/B47)</f>
        <v>0.5187601823759183</v>
      </c>
      <c r="M47" s="140"/>
    </row>
    <row r="48" spans="1:13" ht="12.75">
      <c r="A48" s="338" t="s">
        <v>102</v>
      </c>
      <c r="B48" s="44">
        <f>B46</f>
        <v>44622.251117696374</v>
      </c>
      <c r="C48" s="44"/>
      <c r="D48" s="196">
        <f>SUM(D47,D46)</f>
        <v>8188.005977015494</v>
      </c>
      <c r="E48" s="44"/>
      <c r="F48" s="83">
        <f>IF(ISERROR(D48/B48),"n/a",D48/B48)</f>
        <v>0.18349603105900408</v>
      </c>
      <c r="G48" s="41"/>
      <c r="H48" s="75"/>
      <c r="I48" s="75"/>
      <c r="J48" s="46">
        <f>SUM(J47,J46)</f>
        <v>14426.399246689463</v>
      </c>
      <c r="K48" s="83">
        <f>IF(ISERROR(J48/B48),"n/a",J48/B48)</f>
        <v>0.3233005705749394</v>
      </c>
      <c r="M48" s="140"/>
    </row>
    <row r="49" spans="1:13" ht="12.75">
      <c r="A49" s="16"/>
      <c r="B49" s="44"/>
      <c r="C49" s="44"/>
      <c r="D49" s="196"/>
      <c r="E49" s="44"/>
      <c r="F49" s="83"/>
      <c r="G49" s="41"/>
      <c r="H49" s="75"/>
      <c r="I49" s="75"/>
      <c r="J49" s="46"/>
      <c r="K49" s="83"/>
      <c r="M49" s="140"/>
    </row>
    <row r="50" spans="1:13" ht="12.75">
      <c r="A50" s="15" t="s">
        <v>782</v>
      </c>
      <c r="B50" s="44"/>
      <c r="C50" s="285"/>
      <c r="D50" s="196"/>
      <c r="E50" s="285"/>
      <c r="F50" s="83"/>
      <c r="G50" s="41"/>
      <c r="H50" s="54"/>
      <c r="I50" s="75"/>
      <c r="J50" s="46"/>
      <c r="K50" s="83"/>
      <c r="M50" s="140"/>
    </row>
    <row r="51" spans="1:13" ht="12.75">
      <c r="A51" s="82" t="s">
        <v>173</v>
      </c>
      <c r="B51" s="44"/>
      <c r="C51" s="285"/>
      <c r="D51" s="196"/>
      <c r="E51" s="285"/>
      <c r="F51" s="83"/>
      <c r="G51" s="41"/>
      <c r="H51" s="54"/>
      <c r="I51" s="75"/>
      <c r="J51" s="46"/>
      <c r="K51" s="83"/>
      <c r="M51" s="140"/>
    </row>
    <row r="52" spans="1:13" ht="12.75">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1.7618940786298556</v>
      </c>
      <c r="I52" s="75"/>
      <c r="J52" s="46">
        <f>D52*$H52</f>
        <v>0</v>
      </c>
      <c r="K52" s="83" t="str">
        <f>IF(ISERROR(J52/B52),"n/a",J52/B52)</f>
        <v>n/a</v>
      </c>
      <c r="M52" s="140"/>
    </row>
    <row r="53" spans="1:13" ht="12.75">
      <c r="A53" s="338" t="s">
        <v>292</v>
      </c>
      <c r="B53" s="44">
        <f>SUM('Table 3.21-CFS CIOSS Rejs'!B70,'Table 3.21-CFS CIOSS Rejs'!B75)</f>
        <v>5995.136231928338</v>
      </c>
      <c r="C53" s="292" t="s">
        <v>240</v>
      </c>
      <c r="D53" s="196">
        <f>SUM('Table 3.21-CFS CIOSS Rejs'!C70,'Table 3.21-CFS CIOSS Rejs'!C75)</f>
        <v>77.31353716048653</v>
      </c>
      <c r="E53" s="292" t="s">
        <v>240</v>
      </c>
      <c r="F53" s="83">
        <f>IF(ISERROR(D53/B53),"n/a",D53/B53)</f>
        <v>0.012896043420787888</v>
      </c>
      <c r="G53" s="41"/>
      <c r="H53" s="54">
        <v>1.7618940786298556</v>
      </c>
      <c r="I53" s="75"/>
      <c r="J53" s="46">
        <f>D53*$H53</f>
        <v>136.21826332099053</v>
      </c>
      <c r="K53" s="83">
        <f>IF(ISERROR(J53/B53),"n/a",J53/B53)</f>
        <v>0.022721462540839687</v>
      </c>
      <c r="M53" s="140"/>
    </row>
    <row r="54" spans="1:13" ht="4.5" customHeight="1">
      <c r="A54" s="89"/>
      <c r="B54" s="44"/>
      <c r="C54" s="285"/>
      <c r="D54" s="44"/>
      <c r="E54" s="285"/>
      <c r="F54" s="83"/>
      <c r="G54" s="41"/>
      <c r="H54" s="54"/>
      <c r="I54" s="75"/>
      <c r="J54" s="44"/>
      <c r="K54" s="83"/>
      <c r="M54" s="140"/>
    </row>
    <row r="55" spans="1:13" ht="12.75">
      <c r="A55" s="82" t="s">
        <v>176</v>
      </c>
      <c r="B55" s="44"/>
      <c r="C55" s="285"/>
      <c r="D55" s="44"/>
      <c r="E55" s="285"/>
      <c r="F55" s="83"/>
      <c r="G55" s="41"/>
      <c r="H55" s="54"/>
      <c r="I55" s="75"/>
      <c r="J55" s="44"/>
      <c r="K55" s="83"/>
      <c r="M55" s="140"/>
    </row>
    <row r="56" spans="1:13" ht="12.75">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1.7618940786298556</v>
      </c>
      <c r="I56" s="75"/>
      <c r="J56" s="46">
        <f>D56*$H56</f>
        <v>0</v>
      </c>
      <c r="K56" s="83" t="str">
        <f>IF(ISERROR(J56/B56),"n/a",J56/B56)</f>
        <v>n/a</v>
      </c>
      <c r="M56" s="140"/>
    </row>
    <row r="57" spans="1:13" ht="12.75">
      <c r="A57" s="338" t="s">
        <v>292</v>
      </c>
      <c r="B57" s="44">
        <f>SUM('Table 3.21-CFS CIOSS Rejs'!B81,'Table 3.21-CFS CIOSS Rejs'!B86)</f>
        <v>5995.136231928338</v>
      </c>
      <c r="C57" s="292" t="s">
        <v>240</v>
      </c>
      <c r="D57" s="196">
        <f>SUM('Table 3.21-CFS CIOSS Rejs'!C81,'Table 3.21-CFS CIOSS Rejs'!C86)</f>
        <v>1416.8549517627202</v>
      </c>
      <c r="E57" s="292" t="s">
        <v>240</v>
      </c>
      <c r="F57" s="83">
        <f>IF(ISERROR(D57/B57),"n/a",D57/B57)</f>
        <v>0.2363340709785653</v>
      </c>
      <c r="G57" s="41"/>
      <c r="H57" s="54">
        <v>1.7618940786298556</v>
      </c>
      <c r="I57" s="75"/>
      <c r="J57" s="46">
        <f>D57*$H57</f>
        <v>2496.3483497881266</v>
      </c>
      <c r="K57" s="83">
        <f>IF(ISERROR(J57/B57),"n/a",J57/B57)</f>
        <v>0.41639560023562217</v>
      </c>
      <c r="M57" s="140"/>
    </row>
    <row r="58" spans="1:13" ht="4.5" customHeight="1">
      <c r="A58" s="89"/>
      <c r="B58" s="44"/>
      <c r="C58" s="285"/>
      <c r="D58" s="196"/>
      <c r="E58" s="285"/>
      <c r="F58" s="83"/>
      <c r="G58" s="41"/>
      <c r="H58" s="54"/>
      <c r="I58" s="75"/>
      <c r="J58" s="46"/>
      <c r="K58" s="83"/>
      <c r="M58" s="140"/>
    </row>
    <row r="59" spans="1:13" ht="12.75">
      <c r="A59" s="338" t="s">
        <v>177</v>
      </c>
      <c r="B59" s="44">
        <f>SUM(B52:B53)</f>
        <v>5995.136231928338</v>
      </c>
      <c r="C59" s="285"/>
      <c r="D59" s="196">
        <f>SUM(D52:D53)</f>
        <v>77.31353716048653</v>
      </c>
      <c r="E59" s="285"/>
      <c r="F59" s="83">
        <f>IF(ISERROR(D59/B59),"n/a",D59/B59)</f>
        <v>0.012896043420787888</v>
      </c>
      <c r="G59" s="41"/>
      <c r="H59" s="54">
        <v>1.7618940786298556</v>
      </c>
      <c r="I59" s="75"/>
      <c r="J59" s="46">
        <f>D59*$H59</f>
        <v>136.21826332099053</v>
      </c>
      <c r="K59" s="83">
        <f>IF(ISERROR(J59/B59),"n/a",J59/B59)</f>
        <v>0.022721462540839687</v>
      </c>
      <c r="M59" s="140"/>
    </row>
    <row r="60" spans="1:13" ht="12.75">
      <c r="A60" s="338" t="s">
        <v>178</v>
      </c>
      <c r="B60" s="44">
        <f>SUM(B56:B57)</f>
        <v>5995.136231928338</v>
      </c>
      <c r="C60" s="285"/>
      <c r="D60" s="196">
        <f>SUM(D56:D57)</f>
        <v>1416.8549517627202</v>
      </c>
      <c r="E60" s="285"/>
      <c r="F60" s="83">
        <f>IF(ISERROR(D60/B60),"n/a",D60/B60)</f>
        <v>0.2363340709785653</v>
      </c>
      <c r="G60" s="41"/>
      <c r="H60" s="54">
        <v>1.7618940786298556</v>
      </c>
      <c r="I60" s="75"/>
      <c r="J60" s="46">
        <f>D60*$H60</f>
        <v>2496.3483497881266</v>
      </c>
      <c r="K60" s="83">
        <f>IF(ISERROR(J60/B60),"n/a",J60/B60)</f>
        <v>0.41639560023562217</v>
      </c>
      <c r="M60" s="140"/>
    </row>
    <row r="61" spans="1:11" ht="12.75">
      <c r="A61" s="338" t="s">
        <v>102</v>
      </c>
      <c r="B61" s="44">
        <f>B60</f>
        <v>5995.136231928338</v>
      </c>
      <c r="C61" s="285"/>
      <c r="D61" s="196">
        <f>SUM(D59:D60)</f>
        <v>1494.1684889232067</v>
      </c>
      <c r="E61" s="285"/>
      <c r="F61" s="83">
        <f>IF(ISERROR(D61/B61),"n/a",D61/B61)</f>
        <v>0.24923011439935316</v>
      </c>
      <c r="G61" s="41"/>
      <c r="H61" s="54"/>
      <c r="I61" s="75"/>
      <c r="J61" s="46">
        <f>SUM(J59:J60)</f>
        <v>2632.566613109117</v>
      </c>
      <c r="K61" s="83">
        <f>IF(ISERROR(J61/B61),"n/a",J61/B61)</f>
        <v>0.43911706277646184</v>
      </c>
    </row>
    <row r="62" spans="1:11" ht="12.75">
      <c r="A62" s="338"/>
      <c r="B62" s="44"/>
      <c r="C62" s="285"/>
      <c r="D62" s="196"/>
      <c r="E62" s="285"/>
      <c r="F62" s="83"/>
      <c r="G62" s="41"/>
      <c r="H62" s="54"/>
      <c r="I62" s="75"/>
      <c r="J62" s="46"/>
      <c r="K62" s="83"/>
    </row>
    <row r="63" spans="1:11" ht="15">
      <c r="A63" s="158" t="s">
        <v>648</v>
      </c>
      <c r="D63" s="24"/>
      <c r="E63" s="24"/>
      <c r="F63" s="24"/>
      <c r="G63" s="24"/>
      <c r="H63" s="24"/>
      <c r="I63" s="24"/>
      <c r="J63" s="24"/>
      <c r="K63" s="24"/>
    </row>
    <row r="64" spans="1:11" ht="15">
      <c r="A64" s="158" t="s">
        <v>787</v>
      </c>
      <c r="D64" s="24"/>
      <c r="E64" s="24"/>
      <c r="F64" s="24"/>
      <c r="G64" s="24"/>
      <c r="H64" s="24"/>
      <c r="I64" s="24"/>
      <c r="J64" s="24"/>
      <c r="K64" s="24"/>
    </row>
    <row r="65" spans="1:11" ht="25.5">
      <c r="A65" s="89"/>
      <c r="B65" s="168" t="s">
        <v>222</v>
      </c>
      <c r="C65" s="168"/>
      <c r="D65" s="189" t="s">
        <v>217</v>
      </c>
      <c r="E65" s="189"/>
      <c r="F65" s="198" t="s">
        <v>104</v>
      </c>
      <c r="G65" s="198"/>
      <c r="H65" s="199" t="s">
        <v>251</v>
      </c>
      <c r="I65" s="199"/>
      <c r="J65" s="160" t="s">
        <v>218</v>
      </c>
      <c r="K65" s="41" t="s">
        <v>133</v>
      </c>
    </row>
    <row r="66" spans="1:11" ht="15">
      <c r="A66" s="443" t="s">
        <v>436</v>
      </c>
      <c r="B66" s="168"/>
      <c r="C66" s="168"/>
      <c r="D66" s="189"/>
      <c r="E66" s="189"/>
      <c r="F66" s="198"/>
      <c r="G66" s="198"/>
      <c r="H66" s="199"/>
      <c r="I66" s="199"/>
      <c r="J66" s="160"/>
      <c r="K66" s="41"/>
    </row>
    <row r="67" spans="1:11" ht="4.5" customHeight="1">
      <c r="A67" s="158"/>
      <c r="B67" s="168"/>
      <c r="C67" s="168"/>
      <c r="D67" s="189"/>
      <c r="E67" s="189"/>
      <c r="F67" s="198"/>
      <c r="G67" s="198"/>
      <c r="H67" s="199"/>
      <c r="I67" s="199"/>
      <c r="J67" s="160"/>
      <c r="K67" s="41"/>
    </row>
    <row r="68" spans="1:11" ht="12.75">
      <c r="A68" s="453" t="s">
        <v>291</v>
      </c>
      <c r="B68" s="168"/>
      <c r="C68" s="168"/>
      <c r="D68" s="189"/>
      <c r="E68" s="189"/>
      <c r="F68" s="198"/>
      <c r="G68" s="198"/>
      <c r="H68" s="199"/>
      <c r="I68" s="199"/>
      <c r="J68" s="160"/>
      <c r="K68" s="41"/>
    </row>
    <row r="69" spans="1:11" ht="12.75">
      <c r="A69" s="82" t="s">
        <v>173</v>
      </c>
      <c r="B69" s="6"/>
      <c r="C69" s="6"/>
      <c r="D69" s="52"/>
      <c r="E69" s="52"/>
      <c r="F69" s="86"/>
      <c r="G69" s="86"/>
      <c r="H69" s="104"/>
      <c r="I69" s="54"/>
      <c r="J69" s="39"/>
      <c r="K69" s="88"/>
    </row>
    <row r="70" spans="1:11" ht="12.75">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ht="12.75">
      <c r="A71" s="338" t="s">
        <v>292</v>
      </c>
      <c r="B71" s="105">
        <f>SUM(B9,B40)</f>
        <v>154903.67297165014</v>
      </c>
      <c r="C71" s="292"/>
      <c r="D71" s="196">
        <f>SUM(D9,D40)</f>
        <v>24854.174126256326</v>
      </c>
      <c r="E71" s="292"/>
      <c r="F71" s="83">
        <f>IF(ISERROR(D71/B71),"n/a",D71/B71)</f>
        <v>0.16044922402069214</v>
      </c>
      <c r="G71" s="92"/>
      <c r="H71" s="54"/>
      <c r="I71" s="54"/>
      <c r="J71" s="196">
        <f>SUM(J9,J40)</f>
        <v>43790.42222228638</v>
      </c>
      <c r="K71" s="83">
        <f>IF(ISERROR(J71/B71),"n/a",J71/B71)</f>
        <v>0.2826945377228126</v>
      </c>
    </row>
    <row r="72" spans="1:11" ht="4.5" customHeight="1">
      <c r="A72" s="89"/>
      <c r="B72" s="200"/>
      <c r="C72" s="200"/>
      <c r="D72" s="196"/>
      <c r="E72" s="200"/>
      <c r="F72" s="201"/>
      <c r="G72" s="198"/>
      <c r="H72" s="199"/>
      <c r="I72" s="199"/>
      <c r="J72" s="196"/>
      <c r="K72" s="83"/>
    </row>
    <row r="73" spans="1:11" ht="12.75">
      <c r="A73" s="82" t="s">
        <v>176</v>
      </c>
      <c r="B73" s="135"/>
      <c r="C73" s="135"/>
      <c r="D73" s="196"/>
      <c r="E73" s="135"/>
      <c r="F73" s="92"/>
      <c r="G73" s="48"/>
      <c r="H73" s="48"/>
      <c r="I73" s="48"/>
      <c r="J73" s="196"/>
      <c r="K73" s="92"/>
    </row>
    <row r="74" spans="1:11" ht="12.75">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ht="12.75">
      <c r="A75" s="338" t="s">
        <v>292</v>
      </c>
      <c r="B75" s="105">
        <f>SUM(B13,B44)</f>
        <v>57814.836271805354</v>
      </c>
      <c r="C75" s="292"/>
      <c r="D75" s="196">
        <f>SUM(D13,D44)</f>
        <v>17022.609572375102</v>
      </c>
      <c r="E75" s="292"/>
      <c r="F75" s="83">
        <f>IF(ISERROR(D75/B75),"n/a",D75/B75)</f>
        <v>0.29443324015217426</v>
      </c>
      <c r="G75" s="92"/>
      <c r="H75" s="54"/>
      <c r="I75" s="54"/>
      <c r="J75" s="196">
        <f>SUM(J13,J44)</f>
        <v>29992.035008395593</v>
      </c>
      <c r="K75" s="83">
        <f>IF(ISERROR(J75/B75),"n/a",J75/B75)</f>
        <v>0.5187601823759181</v>
      </c>
    </row>
    <row r="76" spans="1:11" ht="4.5" customHeight="1">
      <c r="A76" s="89"/>
      <c r="B76" s="200"/>
      <c r="C76" s="200"/>
      <c r="D76" s="204"/>
      <c r="E76" s="200"/>
      <c r="F76" s="201"/>
      <c r="G76" s="198"/>
      <c r="H76" s="199"/>
      <c r="I76" s="199"/>
      <c r="J76" s="204"/>
      <c r="K76" s="83"/>
    </row>
    <row r="77" spans="1:11" ht="12.75">
      <c r="A77" s="338" t="s">
        <v>177</v>
      </c>
      <c r="B77" s="44">
        <f>SUM(B70:B71)</f>
        <v>154903.67297165014</v>
      </c>
      <c r="C77" s="44"/>
      <c r="D77" s="196">
        <f>SUM(D70:D71)</f>
        <v>24854.174126256326</v>
      </c>
      <c r="E77" s="44"/>
      <c r="F77" s="83">
        <f>IF(ISERROR(D77/B77),"n/a",D77/B77)</f>
        <v>0.16044922402069214</v>
      </c>
      <c r="G77" s="41"/>
      <c r="H77" s="75"/>
      <c r="I77" s="75"/>
      <c r="J77" s="196">
        <f>SUM(J70:J71)</f>
        <v>43790.42222228638</v>
      </c>
      <c r="K77" s="83">
        <f>IF(ISERROR(J77/B77),"n/a",J77/B77)</f>
        <v>0.2826945377228126</v>
      </c>
    </row>
    <row r="78" spans="1:11" ht="12.75">
      <c r="A78" s="338" t="s">
        <v>178</v>
      </c>
      <c r="B78" s="44">
        <f>SUM(B74:B75)</f>
        <v>57814.836271805354</v>
      </c>
      <c r="C78" s="44"/>
      <c r="D78" s="196">
        <f>SUM(D74:D75)</f>
        <v>17022.609572375102</v>
      </c>
      <c r="E78" s="44"/>
      <c r="F78" s="83">
        <f>IF(ISERROR(D78/B78),"n/a",D78/B78)</f>
        <v>0.29443324015217426</v>
      </c>
      <c r="G78" s="202"/>
      <c r="H78" s="203"/>
      <c r="I78" s="203"/>
      <c r="J78" s="196">
        <f>SUM(J74:J75)</f>
        <v>29992.035008395593</v>
      </c>
      <c r="K78" s="83">
        <f>IF(ISERROR(J78/B78),"n/a",J78/B78)</f>
        <v>0.5187601823759181</v>
      </c>
    </row>
    <row r="79" spans="1:11" ht="12.75">
      <c r="A79" s="338" t="s">
        <v>102</v>
      </c>
      <c r="B79" s="44">
        <f>B77</f>
        <v>154903.67297165014</v>
      </c>
      <c r="C79" s="44"/>
      <c r="D79" s="196">
        <f>SUM(D78,D77)</f>
        <v>41876.78369863143</v>
      </c>
      <c r="E79" s="44"/>
      <c r="F79" s="83">
        <f>IF(ISERROR(D79/B79),"n/a",D79/B79)</f>
        <v>0.2703408053229025</v>
      </c>
      <c r="G79" s="41"/>
      <c r="H79" s="75"/>
      <c r="I79" s="75"/>
      <c r="J79" s="196">
        <f>SUM(J78,J77)</f>
        <v>73782.45723068198</v>
      </c>
      <c r="K79" s="83">
        <f>IF(ISERROR(J79/B79),"n/a",J79/B79)</f>
        <v>0.4763118641104485</v>
      </c>
    </row>
    <row r="80" spans="1:11" ht="12.75">
      <c r="A80" s="16"/>
      <c r="B80" s="44"/>
      <c r="C80" s="44"/>
      <c r="D80" s="196"/>
      <c r="E80" s="44"/>
      <c r="F80" s="83"/>
      <c r="G80" s="41"/>
      <c r="H80" s="75"/>
      <c r="I80" s="75"/>
      <c r="J80" s="196"/>
      <c r="K80" s="83"/>
    </row>
    <row r="81" spans="1:11" ht="12.75">
      <c r="A81" s="15" t="s">
        <v>782</v>
      </c>
      <c r="B81" s="44"/>
      <c r="C81" s="285"/>
      <c r="D81" s="196"/>
      <c r="E81" s="285"/>
      <c r="F81" s="83"/>
      <c r="G81" s="41"/>
      <c r="H81" s="54"/>
      <c r="I81" s="75"/>
      <c r="J81" s="196"/>
      <c r="K81" s="83"/>
    </row>
    <row r="82" spans="1:11" ht="12.75">
      <c r="A82" s="82" t="s">
        <v>173</v>
      </c>
      <c r="B82" s="44"/>
      <c r="C82" s="285"/>
      <c r="D82" s="196"/>
      <c r="E82" s="285"/>
      <c r="F82" s="83"/>
      <c r="G82" s="41"/>
      <c r="H82" s="54"/>
      <c r="I82" s="75"/>
      <c r="J82" s="196"/>
      <c r="K82" s="83"/>
    </row>
    <row r="83" spans="1:11" ht="12.75">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1" ht="12.75">
      <c r="A84" s="338" t="s">
        <v>292</v>
      </c>
      <c r="B84" s="105">
        <f>SUM(B22,B53)</f>
        <v>47665.16241443415</v>
      </c>
      <c r="C84" s="292"/>
      <c r="D84" s="196">
        <f>SUM(D22,D53)</f>
        <v>614.6920041554492</v>
      </c>
      <c r="E84" s="292"/>
      <c r="F84" s="83">
        <f>IF(ISERROR(D84/B84),"n/a",D84/B84)</f>
        <v>0.01289604342078788</v>
      </c>
      <c r="G84" s="41"/>
      <c r="H84" s="54"/>
      <c r="I84" s="75"/>
      <c r="J84" s="196">
        <f>SUM(J22,J53)</f>
        <v>1083.0222023026047</v>
      </c>
      <c r="K84" s="83">
        <f>IF(ISERROR(J84/B84),"n/a",J84/B84)</f>
        <v>0.022721462540839676</v>
      </c>
    </row>
    <row r="85" spans="1:11" ht="4.5" customHeight="1">
      <c r="A85" s="89"/>
      <c r="B85" s="44"/>
      <c r="C85" s="285"/>
      <c r="D85" s="196"/>
      <c r="E85" s="285"/>
      <c r="F85" s="83"/>
      <c r="G85" s="41"/>
      <c r="H85" s="54"/>
      <c r="I85" s="75"/>
      <c r="J85" s="196"/>
      <c r="K85" s="83"/>
    </row>
    <row r="86" spans="1:11" ht="12.75">
      <c r="A86" s="82" t="s">
        <v>176</v>
      </c>
      <c r="B86" s="44"/>
      <c r="C86" s="285"/>
      <c r="D86" s="196"/>
      <c r="E86" s="285"/>
      <c r="F86" s="83"/>
      <c r="G86" s="41"/>
      <c r="H86" s="54"/>
      <c r="I86" s="75"/>
      <c r="J86" s="196"/>
      <c r="K86" s="83"/>
    </row>
    <row r="87" spans="1:11" ht="12.75">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1" ht="12.75">
      <c r="A88" s="338" t="s">
        <v>292</v>
      </c>
      <c r="B88" s="105">
        <f>SUM(B26,B57)</f>
        <v>47665.16241443415</v>
      </c>
      <c r="C88" s="292"/>
      <c r="D88" s="196">
        <f>SUM(D26,D57)</f>
        <v>11264.901877257724</v>
      </c>
      <c r="E88" s="292"/>
      <c r="F88" s="83">
        <f>IF(ISERROR(D88/B88),"n/a",D88/B88)</f>
        <v>0.23633407097856532</v>
      </c>
      <c r="G88" s="41"/>
      <c r="H88" s="54"/>
      <c r="I88" s="75"/>
      <c r="J88" s="196">
        <f>SUM(J26,J57)</f>
        <v>19847.56391388673</v>
      </c>
      <c r="K88" s="83">
        <f>IF(ISERROR(J88/B88),"n/a",J88/B88)</f>
        <v>0.4163956002356223</v>
      </c>
    </row>
    <row r="89" spans="1:11" ht="4.5" customHeight="1">
      <c r="A89" s="89"/>
      <c r="B89" s="44"/>
      <c r="C89" s="285"/>
      <c r="D89" s="196"/>
      <c r="E89" s="285"/>
      <c r="F89" s="83"/>
      <c r="G89" s="41"/>
      <c r="H89" s="54"/>
      <c r="I89" s="75"/>
      <c r="J89" s="196"/>
      <c r="K89" s="83"/>
    </row>
    <row r="90" spans="1:11" ht="12.75">
      <c r="A90" s="338" t="s">
        <v>177</v>
      </c>
      <c r="B90" s="44">
        <f>SUM(B83:B84)</f>
        <v>47665.16241443415</v>
      </c>
      <c r="C90" s="285"/>
      <c r="D90" s="196">
        <f>SUM(D83:D84)</f>
        <v>614.6920041554492</v>
      </c>
      <c r="E90" s="285"/>
      <c r="F90" s="83">
        <f>IF(ISERROR(D90/B90),"n/a",D90/B90)</f>
        <v>0.01289604342078788</v>
      </c>
      <c r="G90" s="41"/>
      <c r="H90" s="54"/>
      <c r="I90" s="75"/>
      <c r="J90" s="196">
        <f>SUM(J83:J84)</f>
        <v>1083.0222023026047</v>
      </c>
      <c r="K90" s="83">
        <f>IF(ISERROR(J90/B90),"n/a",J90/B90)</f>
        <v>0.022721462540839676</v>
      </c>
    </row>
    <row r="91" spans="1:11" ht="12.75">
      <c r="A91" s="338" t="s">
        <v>178</v>
      </c>
      <c r="B91" s="44">
        <f>SUM(B87:B88)</f>
        <v>47665.16241443415</v>
      </c>
      <c r="C91" s="285"/>
      <c r="D91" s="196">
        <f>SUM(D87:D88)</f>
        <v>11264.901877257724</v>
      </c>
      <c r="E91" s="285"/>
      <c r="F91" s="83">
        <f>IF(ISERROR(D91/B91),"n/a",D91/B91)</f>
        <v>0.23633407097856532</v>
      </c>
      <c r="G91" s="41"/>
      <c r="H91" s="54"/>
      <c r="I91" s="75"/>
      <c r="J91" s="196">
        <f>SUM(J87:J88)</f>
        <v>19847.56391388673</v>
      </c>
      <c r="K91" s="83">
        <f>IF(ISERROR(J91/B91),"n/a",J91/B91)</f>
        <v>0.4163956002356223</v>
      </c>
    </row>
    <row r="92" spans="1:11" ht="12.75">
      <c r="A92" s="338" t="s">
        <v>102</v>
      </c>
      <c r="B92" s="44">
        <f>B91</f>
        <v>47665.16241443415</v>
      </c>
      <c r="C92" s="285"/>
      <c r="D92" s="196">
        <f>SUM(D90:D91)</f>
        <v>11879.593881413173</v>
      </c>
      <c r="E92" s="285"/>
      <c r="F92" s="83">
        <f>IF(ISERROR(D92/B92),"n/a",D92/B92)</f>
        <v>0.2492301143993532</v>
      </c>
      <c r="G92" s="41"/>
      <c r="H92" s="54"/>
      <c r="I92" s="75"/>
      <c r="J92" s="196">
        <f>SUM(J90:J91)</f>
        <v>20930.586116189334</v>
      </c>
      <c r="K92" s="83">
        <f>IF(ISERROR(J92/B92),"n/a",J92/B92)</f>
        <v>0.43911706277646195</v>
      </c>
    </row>
    <row r="93" spans="1:11" ht="12.75" hidden="1">
      <c r="A93" s="338"/>
      <c r="B93" s="44"/>
      <c r="C93" s="285"/>
      <c r="D93" s="196"/>
      <c r="E93" s="285"/>
      <c r="F93" s="83"/>
      <c r="G93" s="41"/>
      <c r="H93" s="54"/>
      <c r="I93" s="75"/>
      <c r="J93" s="46"/>
      <c r="K93" s="83"/>
    </row>
    <row r="94" spans="1:11" ht="12.75" hidden="1">
      <c r="A94" s="338"/>
      <c r="B94" s="44"/>
      <c r="C94" s="285"/>
      <c r="D94" s="196"/>
      <c r="E94" s="285"/>
      <c r="F94" s="83"/>
      <c r="G94" s="41"/>
      <c r="H94" s="54"/>
      <c r="I94" s="75"/>
      <c r="J94" s="46"/>
      <c r="K94" s="83"/>
    </row>
    <row r="95" spans="1:11" ht="12.75" hidden="1">
      <c r="A95" s="140"/>
      <c r="B95" s="547" t="s">
        <v>193</v>
      </c>
      <c r="C95" s="547"/>
      <c r="D95" s="196"/>
      <c r="E95" s="285"/>
      <c r="F95" s="83"/>
      <c r="G95" s="41"/>
      <c r="H95" s="54"/>
      <c r="I95" s="75"/>
      <c r="J95" s="46"/>
      <c r="K95" s="83"/>
    </row>
    <row r="96" spans="1:14" ht="12.75" hidden="1">
      <c r="A96" s="140"/>
      <c r="B96" s="547" t="s">
        <v>194</v>
      </c>
      <c r="C96" s="547"/>
      <c r="D96" s="31">
        <f>SUM(D9,D13)</f>
        <v>33688.77772161593</v>
      </c>
      <c r="E96" s="31"/>
      <c r="F96" s="31">
        <f>'Table 3.20-CFS Non-CIOSS'!C91-'Table 3.20-CFS Non-CIOSS'!C94</f>
        <v>33688.77772161593</v>
      </c>
      <c r="G96" s="129"/>
      <c r="H96" s="128">
        <f>D96-F96</f>
        <v>0</v>
      </c>
      <c r="I96" s="11"/>
      <c r="J96" s="11"/>
      <c r="K96" s="31">
        <f>D40+D44</f>
        <v>8188.005977015494</v>
      </c>
      <c r="L96" s="53">
        <f>'Table 3.21-CFS CIOSS Rejs'!C91-'Table 3.21-CFS CIOSS Rejs'!C94</f>
        <v>8188.005977015493</v>
      </c>
      <c r="M96" s="128">
        <f>K96-L96</f>
        <v>0</v>
      </c>
      <c r="N96" s="357"/>
    </row>
    <row r="97" spans="1:14" ht="12.75" hidden="1">
      <c r="A97" s="140"/>
      <c r="B97" s="547" t="s">
        <v>195</v>
      </c>
      <c r="C97" s="547"/>
      <c r="D97" s="31">
        <f>SUM(D96:D96)</f>
        <v>33688.77772161593</v>
      </c>
      <c r="E97" s="31"/>
      <c r="F97" s="31">
        <f>SUM(F96:F96)</f>
        <v>33688.77772161593</v>
      </c>
      <c r="G97" s="129"/>
      <c r="H97" s="128">
        <f>D97-F97</f>
        <v>0</v>
      </c>
      <c r="I97" s="11"/>
      <c r="J97" s="11"/>
      <c r="K97" s="31">
        <f>SUM(K96:K96)</f>
        <v>8188.005977015494</v>
      </c>
      <c r="L97" s="31">
        <f>SUM(L96:L96)</f>
        <v>8188.005977015493</v>
      </c>
      <c r="M97" s="128">
        <f>K97-L97</f>
        <v>0</v>
      </c>
      <c r="N97" s="357"/>
    </row>
    <row r="98" spans="2:11" ht="12.75" hidden="1">
      <c r="B98" s="11"/>
      <c r="C98" s="11"/>
      <c r="D98" s="11"/>
      <c r="E98" s="11"/>
      <c r="F98" s="11"/>
      <c r="G98" s="11"/>
      <c r="H98" s="11"/>
      <c r="I98" s="11"/>
      <c r="J98" s="11"/>
      <c r="K98" s="11"/>
    </row>
    <row r="99" spans="1:11" ht="12.75" hidden="1">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0" ht="12.75" hidden="1">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0" ht="12.75" hidden="1">
      <c r="A101" s="347"/>
      <c r="B101" s="352"/>
      <c r="C101" s="352"/>
      <c r="D101" s="11"/>
      <c r="E101" s="11"/>
      <c r="F101" s="11"/>
      <c r="G101" s="11"/>
      <c r="H101" s="11"/>
      <c r="I101" s="11"/>
      <c r="J101" s="11"/>
    </row>
    <row r="102" spans="1:13" ht="12.75" hidden="1">
      <c r="A102" s="347"/>
      <c r="B102" s="350" t="s">
        <v>301</v>
      </c>
      <c r="C102" s="352"/>
      <c r="D102" s="31">
        <f>D21+D25</f>
        <v>0</v>
      </c>
      <c r="E102" s="31"/>
      <c r="F102" s="31">
        <v>0</v>
      </c>
      <c r="G102" s="11"/>
      <c r="H102" s="128">
        <f>D102-F102</f>
        <v>0</v>
      </c>
      <c r="I102" s="11"/>
      <c r="J102" s="11"/>
      <c r="K102" s="31">
        <f>D52+D56</f>
        <v>0</v>
      </c>
      <c r="M102" s="128">
        <f>K102-L102</f>
        <v>0</v>
      </c>
    </row>
    <row r="103" spans="1:13" ht="12.75" hidden="1">
      <c r="A103" s="347"/>
      <c r="B103" s="350" t="s">
        <v>302</v>
      </c>
      <c r="C103" s="352"/>
      <c r="D103" s="31">
        <f>D22+D26</f>
        <v>10385.425392489968</v>
      </c>
      <c r="E103" s="31"/>
      <c r="F103" s="31">
        <v>10385.425392489966</v>
      </c>
      <c r="G103" s="11"/>
      <c r="H103" s="128">
        <f>D103-F103</f>
        <v>0</v>
      </c>
      <c r="I103" s="11"/>
      <c r="J103" s="11"/>
      <c r="K103" s="31">
        <f>D53+D57</f>
        <v>1494.1684889232067</v>
      </c>
      <c r="L103" s="31">
        <v>1494.168488923207</v>
      </c>
      <c r="M103" s="128">
        <f>K103-L103</f>
        <v>0</v>
      </c>
    </row>
    <row r="104" spans="1:13" ht="12.75" hidden="1">
      <c r="A104" s="347"/>
      <c r="B104" s="350" t="s">
        <v>303</v>
      </c>
      <c r="C104" s="352"/>
      <c r="D104" s="31">
        <f>D30</f>
        <v>10385.425392489968</v>
      </c>
      <c r="E104" s="31"/>
      <c r="F104" s="31">
        <v>10385.425392489966</v>
      </c>
      <c r="G104" s="11"/>
      <c r="H104" s="128">
        <f>D104-F104</f>
        <v>0</v>
      </c>
      <c r="I104" s="11"/>
      <c r="J104" s="11"/>
      <c r="K104" s="53">
        <f>SUM(K102:K103)</f>
        <v>1494.1684889232067</v>
      </c>
      <c r="L104" s="53">
        <f>SUM(L102:L103)</f>
        <v>1494.168488923207</v>
      </c>
      <c r="M104" s="128">
        <f>K104-L104</f>
        <v>0</v>
      </c>
    </row>
    <row r="105" spans="1:11" ht="12.75" hidden="1">
      <c r="A105" s="347"/>
      <c r="B105" s="350"/>
      <c r="C105" s="352"/>
      <c r="D105" s="31"/>
      <c r="E105" s="31"/>
      <c r="F105" s="31"/>
      <c r="G105" s="11"/>
      <c r="H105" s="349"/>
      <c r="I105" s="11"/>
      <c r="J105" s="11"/>
      <c r="K105" s="11"/>
    </row>
    <row r="106" spans="1:11" ht="12.75" hidden="1">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1" ht="12.75" hidden="1">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1" ht="12.75" hidden="1">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1" ht="12.75" hidden="1">
      <c r="A109" s="350"/>
      <c r="B109" s="350"/>
      <c r="C109" s="66"/>
      <c r="D109" s="66"/>
      <c r="E109" s="66"/>
      <c r="F109" s="66"/>
      <c r="G109" s="140"/>
      <c r="H109" s="349"/>
      <c r="I109" s="11"/>
      <c r="J109" s="11"/>
      <c r="K109" s="11"/>
    </row>
    <row r="110" spans="1:11" ht="12.75" hidden="1">
      <c r="A110" s="350" t="s">
        <v>437</v>
      </c>
      <c r="B110" s="346">
        <v>0</v>
      </c>
      <c r="C110" s="66"/>
      <c r="D110" s="346">
        <v>0</v>
      </c>
      <c r="E110" s="66"/>
      <c r="F110" s="66"/>
      <c r="G110" s="140"/>
      <c r="H110" s="349"/>
      <c r="I110" s="11"/>
      <c r="J110" s="11"/>
      <c r="K110" s="11"/>
    </row>
    <row r="111" spans="1:11" ht="12.75" hidden="1">
      <c r="A111" s="350" t="s">
        <v>438</v>
      </c>
      <c r="B111" s="346">
        <v>0</v>
      </c>
      <c r="C111" s="350"/>
      <c r="D111" s="346">
        <v>0</v>
      </c>
      <c r="E111" s="66"/>
      <c r="F111" s="66"/>
      <c r="G111" s="140"/>
      <c r="H111" s="349"/>
      <c r="I111" s="11"/>
      <c r="J111" s="11"/>
      <c r="K111" s="11"/>
    </row>
    <row r="112" spans="1:11" ht="12.75">
      <c r="A112" s="351"/>
      <c r="B112" s="141"/>
      <c r="C112" s="141"/>
      <c r="D112" s="141"/>
      <c r="E112" s="141"/>
      <c r="F112" s="141"/>
      <c r="G112" s="11"/>
      <c r="H112" s="11"/>
      <c r="I112" s="11"/>
      <c r="J112" s="11"/>
      <c r="K112" s="11"/>
    </row>
    <row r="113" spans="1:11" ht="12.75">
      <c r="A113" s="11" t="s">
        <v>235</v>
      </c>
      <c r="B113" s="11"/>
      <c r="C113" s="11"/>
      <c r="D113" s="11"/>
      <c r="E113" s="11"/>
      <c r="F113" s="11"/>
      <c r="G113" s="11"/>
      <c r="H113" s="11"/>
      <c r="I113" s="11"/>
      <c r="J113" s="11"/>
      <c r="K113" s="11"/>
    </row>
    <row r="114" spans="1:11" ht="12.75">
      <c r="A114" s="25" t="s">
        <v>788</v>
      </c>
      <c r="B114" s="11"/>
      <c r="C114" s="11"/>
      <c r="D114" s="11"/>
      <c r="E114" s="11"/>
      <c r="F114" s="11"/>
      <c r="G114" s="11"/>
      <c r="H114" s="11"/>
      <c r="I114" s="11"/>
      <c r="J114" s="11"/>
      <c r="K114" s="11"/>
    </row>
    <row r="115" spans="1:11" ht="12.75">
      <c r="A115" s="25" t="s">
        <v>649</v>
      </c>
      <c r="B115" s="11"/>
      <c r="C115" s="11"/>
      <c r="D115" s="11"/>
      <c r="E115" s="11"/>
      <c r="F115" s="11"/>
      <c r="G115" s="11"/>
      <c r="H115" s="11"/>
      <c r="I115" s="11"/>
      <c r="J115" s="11"/>
      <c r="K115" s="11"/>
    </row>
    <row r="116" spans="1:11" ht="12.75">
      <c r="A116" s="25" t="s">
        <v>801</v>
      </c>
      <c r="B116" s="11"/>
      <c r="C116" s="11"/>
      <c r="D116" s="11"/>
      <c r="E116" s="11"/>
      <c r="F116" s="11"/>
      <c r="G116" s="11"/>
      <c r="H116" s="11"/>
      <c r="I116" s="11"/>
      <c r="J116" s="11"/>
      <c r="K116" s="11"/>
    </row>
    <row r="117" spans="1:11" ht="12.75">
      <c r="A117" s="25" t="s">
        <v>93</v>
      </c>
      <c r="B117" s="11"/>
      <c r="C117" s="11"/>
      <c r="D117" s="11"/>
      <c r="E117" s="11"/>
      <c r="F117" s="11"/>
      <c r="G117" s="11"/>
      <c r="H117" s="11"/>
      <c r="I117" s="11"/>
      <c r="J117" s="11"/>
      <c r="K117" s="11"/>
    </row>
    <row r="118" spans="2:11" ht="12.75">
      <c r="B118" s="11"/>
      <c r="C118" s="11"/>
      <c r="D118" s="11"/>
      <c r="E118" s="11"/>
      <c r="F118" s="11"/>
      <c r="G118" s="11"/>
      <c r="H118" s="11"/>
      <c r="I118" s="11"/>
      <c r="J118" s="11"/>
      <c r="K118" s="11"/>
    </row>
    <row r="119" spans="2:11" ht="12.75">
      <c r="B119" s="11"/>
      <c r="C119" s="11"/>
      <c r="D119" s="11"/>
      <c r="E119" s="11"/>
      <c r="F119" s="11"/>
      <c r="G119" s="11"/>
      <c r="H119" s="11"/>
      <c r="I119" s="11"/>
      <c r="J119" s="11"/>
      <c r="K119" s="11"/>
    </row>
    <row r="120" spans="2:11" ht="12.75">
      <c r="B120" s="11"/>
      <c r="C120" s="11"/>
      <c r="D120" s="11"/>
      <c r="E120" s="11"/>
      <c r="F120" s="11"/>
      <c r="G120" s="11"/>
      <c r="H120" s="11"/>
      <c r="I120" s="11"/>
      <c r="J120" s="11"/>
      <c r="K120" s="11"/>
    </row>
    <row r="121" spans="2:11" ht="12.75">
      <c r="B121" s="11"/>
      <c r="C121" s="11"/>
      <c r="D121" s="11"/>
      <c r="E121" s="11"/>
      <c r="F121" s="11"/>
      <c r="G121" s="11"/>
      <c r="H121" s="11"/>
      <c r="I121" s="11"/>
      <c r="J121" s="11"/>
      <c r="K121" s="11"/>
    </row>
    <row r="122" spans="2:11" ht="12.75">
      <c r="B122" s="11"/>
      <c r="C122" s="11"/>
      <c r="D122" s="11"/>
      <c r="E122" s="11"/>
      <c r="F122" s="11"/>
      <c r="G122" s="11"/>
      <c r="H122" s="11"/>
      <c r="I122" s="11"/>
      <c r="J122" s="11"/>
      <c r="K122" s="11"/>
    </row>
    <row r="123" spans="2:11" ht="12.75">
      <c r="B123" s="11"/>
      <c r="C123" s="11"/>
      <c r="D123" s="11"/>
      <c r="E123" s="11"/>
      <c r="F123" s="11"/>
      <c r="G123" s="11"/>
      <c r="H123" s="11"/>
      <c r="I123" s="11"/>
      <c r="J123" s="11"/>
      <c r="K123" s="11"/>
    </row>
    <row r="124" spans="2:11" ht="12.75">
      <c r="B124" s="11"/>
      <c r="C124" s="11"/>
      <c r="D124" s="11"/>
      <c r="E124" s="11"/>
      <c r="F124" s="11"/>
      <c r="G124" s="11"/>
      <c r="H124" s="11"/>
      <c r="I124" s="11"/>
      <c r="J124" s="11"/>
      <c r="K124" s="11"/>
    </row>
    <row r="125" spans="2:11" ht="12.75">
      <c r="B125" s="11"/>
      <c r="C125" s="11"/>
      <c r="D125" s="11"/>
      <c r="E125" s="11"/>
      <c r="F125" s="11"/>
      <c r="G125" s="11"/>
      <c r="H125" s="11"/>
      <c r="I125" s="11"/>
      <c r="J125" s="11"/>
      <c r="K125" s="11"/>
    </row>
    <row r="126" spans="2:11" ht="12.75">
      <c r="B126" s="11"/>
      <c r="C126" s="11"/>
      <c r="D126" s="11"/>
      <c r="E126" s="11"/>
      <c r="F126" s="11"/>
      <c r="G126" s="11"/>
      <c r="H126" s="11"/>
      <c r="I126" s="11"/>
      <c r="J126" s="11"/>
      <c r="K126" s="11"/>
    </row>
    <row r="127" spans="2:11" ht="12.75">
      <c r="B127" s="11"/>
      <c r="C127" s="11"/>
      <c r="D127" s="11"/>
      <c r="E127" s="11"/>
      <c r="F127" s="11"/>
      <c r="G127" s="11"/>
      <c r="H127" s="11"/>
      <c r="I127" s="11"/>
      <c r="J127" s="11"/>
      <c r="K127" s="11"/>
    </row>
    <row r="128" spans="2:11" ht="12.75">
      <c r="B128" s="11"/>
      <c r="C128" s="11"/>
      <c r="D128" s="11"/>
      <c r="E128" s="11"/>
      <c r="F128" s="11"/>
      <c r="G128" s="11"/>
      <c r="H128" s="11"/>
      <c r="I128" s="11"/>
      <c r="J128" s="11"/>
      <c r="K128" s="11"/>
    </row>
    <row r="129" spans="2:11" ht="12.75">
      <c r="B129" s="11"/>
      <c r="C129" s="11"/>
      <c r="D129" s="11"/>
      <c r="E129" s="11"/>
      <c r="F129" s="11"/>
      <c r="G129" s="11"/>
      <c r="H129" s="11"/>
      <c r="I129" s="11"/>
      <c r="J129" s="11"/>
      <c r="K129" s="11"/>
    </row>
    <row r="130" spans="2:11" ht="12.75">
      <c r="B130" s="11"/>
      <c r="C130" s="11"/>
      <c r="D130" s="11"/>
      <c r="E130" s="11"/>
      <c r="F130" s="11"/>
      <c r="G130" s="11"/>
      <c r="H130" s="11"/>
      <c r="I130" s="11"/>
      <c r="J130" s="11"/>
      <c r="K130" s="11"/>
    </row>
    <row r="131" spans="2:11" ht="12.75">
      <c r="B131" s="11"/>
      <c r="C131" s="11"/>
      <c r="D131" s="11"/>
      <c r="E131" s="11"/>
      <c r="F131" s="11"/>
      <c r="G131" s="11"/>
      <c r="H131" s="11"/>
      <c r="I131" s="11"/>
      <c r="J131" s="11"/>
      <c r="K131" s="11"/>
    </row>
    <row r="132" spans="2:11" ht="12.75">
      <c r="B132" s="11"/>
      <c r="C132" s="11"/>
      <c r="D132" s="11"/>
      <c r="E132" s="11"/>
      <c r="F132" s="11"/>
      <c r="G132" s="11"/>
      <c r="H132" s="11"/>
      <c r="I132" s="11"/>
      <c r="J132" s="11"/>
      <c r="K132" s="11"/>
    </row>
    <row r="133" spans="2:11" ht="12.75">
      <c r="B133" s="11"/>
      <c r="C133" s="11"/>
      <c r="D133" s="11"/>
      <c r="E133" s="11"/>
      <c r="F133" s="11"/>
      <c r="G133" s="11"/>
      <c r="H133" s="11"/>
      <c r="I133" s="11"/>
      <c r="J133" s="11"/>
      <c r="K133" s="11"/>
    </row>
    <row r="134" spans="2:11" ht="12.75">
      <c r="B134" s="11"/>
      <c r="C134" s="11"/>
      <c r="D134" s="11"/>
      <c r="E134" s="11"/>
      <c r="F134" s="11"/>
      <c r="G134" s="11"/>
      <c r="H134" s="11"/>
      <c r="I134" s="11"/>
      <c r="J134" s="11"/>
      <c r="K134" s="11"/>
    </row>
    <row r="135" spans="2:11" ht="12.75">
      <c r="B135" s="11"/>
      <c r="C135" s="11"/>
      <c r="D135" s="11"/>
      <c r="E135" s="11"/>
      <c r="F135" s="11"/>
      <c r="G135" s="11"/>
      <c r="H135" s="11"/>
      <c r="I135" s="11"/>
      <c r="J135" s="11"/>
      <c r="K135" s="11"/>
    </row>
    <row r="136" spans="2:11" ht="12.75">
      <c r="B136" s="11"/>
      <c r="C136" s="11"/>
      <c r="D136" s="11"/>
      <c r="E136" s="11"/>
      <c r="F136" s="11"/>
      <c r="G136" s="11"/>
      <c r="H136" s="11"/>
      <c r="I136" s="11"/>
      <c r="J136" s="11"/>
      <c r="K136"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sheetPr codeName="Sheet19"/>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560</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1.7618940786298556</v>
      </c>
      <c r="G7" s="75"/>
      <c r="H7" s="42">
        <f>C7*F7</f>
        <v>0</v>
      </c>
      <c r="I7" s="83" t="str">
        <f>IF(ISERROR(H7/B7),"n/a",H7/B7)</f>
        <v>n/a</v>
      </c>
      <c r="J7" s="11"/>
      <c r="K7" s="345"/>
      <c r="L7" s="27"/>
      <c r="M7" s="27"/>
      <c r="N7" s="27"/>
      <c r="O7" s="27"/>
      <c r="P7" s="27"/>
    </row>
    <row r="8" spans="1:16" ht="12.75">
      <c r="A8" s="343" t="s">
        <v>292</v>
      </c>
      <c r="B8" s="105">
        <v>36148.45468640774</v>
      </c>
      <c r="C8" s="196">
        <v>5787.825361136841</v>
      </c>
      <c r="D8" s="83">
        <f>IF(ISERROR(C8/B8),"n/a",C8/B8)</f>
        <v>0.1601126634968751</v>
      </c>
      <c r="E8" s="41"/>
      <c r="F8" s="54">
        <v>1.7618940786298556</v>
      </c>
      <c r="G8" s="75"/>
      <c r="H8" s="42">
        <f>C8*F8</f>
        <v>10197.535231930706</v>
      </c>
      <c r="I8" s="83">
        <f>IF(ISERROR(H8/B8),"n/a",H8/B8)</f>
        <v>0.2821015537287989</v>
      </c>
      <c r="J8" s="11"/>
      <c r="K8" s="27"/>
      <c r="L8" s="27"/>
      <c r="M8" s="27"/>
      <c r="N8" s="27"/>
      <c r="O8" s="27"/>
      <c r="P8" s="27"/>
    </row>
    <row r="9" spans="1:16" ht="12.75">
      <c r="A9" s="344" t="s">
        <v>102</v>
      </c>
      <c r="B9" s="105">
        <f>SUM(B7:B8)</f>
        <v>36148.45468640774</v>
      </c>
      <c r="C9" s="175">
        <f>SUM(C7:C8)</f>
        <v>5787.825361136841</v>
      </c>
      <c r="D9" s="83">
        <f>IF(ISERROR(C9/B9),"n/a",C9/B9)</f>
        <v>0.1601126634968751</v>
      </c>
      <c r="E9" s="41"/>
      <c r="F9" s="54"/>
      <c r="G9" s="48"/>
      <c r="H9" s="42">
        <f>SUM(H7:H8)</f>
        <v>10197.535231930706</v>
      </c>
      <c r="I9" s="83">
        <f>H9/B9</f>
        <v>0.2821015537287989</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1.7618940786298556</v>
      </c>
      <c r="G12" s="48"/>
      <c r="H12" s="42">
        <f>C12*F12</f>
        <v>0</v>
      </c>
      <c r="I12" s="83" t="str">
        <f>IF(ISERROR(H12/B12),"n/a",H12/B12)</f>
        <v>n/a</v>
      </c>
      <c r="J12" s="11"/>
    </row>
    <row r="13" spans="1:10" ht="12.75">
      <c r="A13" s="343" t="s">
        <v>292</v>
      </c>
      <c r="B13" s="105">
        <v>28482.184243887474</v>
      </c>
      <c r="C13" s="196">
        <v>4612.492842814074</v>
      </c>
      <c r="D13" s="83">
        <f>IF(ISERROR(C13/B13),"n/a",C13/B13)</f>
        <v>0.1619430870651697</v>
      </c>
      <c r="E13" s="41"/>
      <c r="F13" s="54">
        <v>1.7618940786298556</v>
      </c>
      <c r="G13" s="48"/>
      <c r="H13" s="42">
        <f>C13*F13</f>
        <v>8126.723827476706</v>
      </c>
      <c r="I13" s="83">
        <f>IF(ISERROR(H13/B13),"n/a",H13/B13)</f>
        <v>0.28532656617516167</v>
      </c>
      <c r="J13" s="11"/>
    </row>
    <row r="14" spans="1:10" ht="12.75">
      <c r="A14" s="344" t="s">
        <v>102</v>
      </c>
      <c r="B14" s="105">
        <f>SUM(B12:B13)</f>
        <v>28482.184243887474</v>
      </c>
      <c r="C14" s="175">
        <f>SUM(C12:C13)</f>
        <v>4612.492842814074</v>
      </c>
      <c r="D14" s="83">
        <f>IF(ISERROR(C14/B14),"n/a",C14/B14)</f>
        <v>0.1619430870651697</v>
      </c>
      <c r="E14" s="41"/>
      <c r="F14" s="54"/>
      <c r="G14" s="48"/>
      <c r="H14" s="42">
        <f>SUM(H12:H13)</f>
        <v>8126.723827476706</v>
      </c>
      <c r="I14" s="83">
        <f>H14/B14</f>
        <v>0.28532656617516167</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1.7618940786298556</v>
      </c>
      <c r="G17" s="54"/>
      <c r="H17" s="42">
        <f>C17*F17</f>
        <v>0</v>
      </c>
      <c r="I17" s="83" t="str">
        <f>IF(ISERROR(H17/B17),"n/a",H17/B17)</f>
        <v>n/a</v>
      </c>
      <c r="J17" s="11"/>
    </row>
    <row r="18" spans="1:10" ht="12.75">
      <c r="A18" s="343" t="s">
        <v>292</v>
      </c>
      <c r="B18" s="105">
        <v>45650.78292365854</v>
      </c>
      <c r="C18" s="196">
        <v>7309.268444624631</v>
      </c>
      <c r="D18" s="83">
        <f>IF(ISERROR(C18/B18),"n/a",C18/B18)</f>
        <v>0.16011266349687509</v>
      </c>
      <c r="E18" s="41"/>
      <c r="F18" s="54">
        <v>1.7618940786298556</v>
      </c>
      <c r="G18" s="54"/>
      <c r="H18" s="42">
        <f>C18*F18</f>
        <v>12878.156791700192</v>
      </c>
      <c r="I18" s="83">
        <f>IF(ISERROR(H18/B18),"n/a",H18/B18)</f>
        <v>0.28210155372879886</v>
      </c>
      <c r="J18" s="11"/>
    </row>
    <row r="19" spans="1:10" ht="12.75">
      <c r="A19" s="344" t="s">
        <v>102</v>
      </c>
      <c r="B19" s="105">
        <f>SUM(B17:B18)</f>
        <v>45650.78292365854</v>
      </c>
      <c r="C19" s="175">
        <f>SUM(C17:C18)</f>
        <v>7309.268444624631</v>
      </c>
      <c r="D19" s="83">
        <f>IF(ISERROR(C19/B19),"n/a",C19/B19)</f>
        <v>0.16011266349687509</v>
      </c>
      <c r="E19" s="41"/>
      <c r="F19" s="54"/>
      <c r="G19" s="48"/>
      <c r="H19" s="42">
        <f>SUM(H17:H18)</f>
        <v>12878.156791700192</v>
      </c>
      <c r="I19" s="83">
        <f>H19/B19</f>
        <v>0.28210155372879886</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1.7618940786298556</v>
      </c>
      <c r="G23" s="48"/>
      <c r="H23" s="42">
        <f>C23*F23</f>
        <v>0</v>
      </c>
      <c r="I23" s="83" t="str">
        <f>IF(ISERROR(H23/B23),"n/a",H23/B23)</f>
        <v>n/a</v>
      </c>
      <c r="J23" s="11"/>
    </row>
    <row r="24" spans="1:10" ht="12.75">
      <c r="A24" s="343" t="s">
        <v>292</v>
      </c>
      <c r="B24" s="105">
        <v>20418.407733963788</v>
      </c>
      <c r="C24" s="196">
        <f>D24*B24</f>
        <v>6011.8579478591755</v>
      </c>
      <c r="D24" s="83">
        <v>0.2944332401521744</v>
      </c>
      <c r="E24" s="41"/>
      <c r="F24" s="54">
        <v>1.7618940786298556</v>
      </c>
      <c r="G24" s="48"/>
      <c r="H24" s="42">
        <f>C24*F24</f>
        <v>10592.256919896916</v>
      </c>
      <c r="I24" s="83">
        <f>IF(ISERROR(H24/B24),"n/a",H24/B24)</f>
        <v>0.5187601823759184</v>
      </c>
      <c r="J24" s="11"/>
    </row>
    <row r="25" spans="1:10" ht="12.75">
      <c r="A25" s="344" t="s">
        <v>102</v>
      </c>
      <c r="B25" s="105">
        <f>SUM(B23:B24)</f>
        <v>20418.407733963788</v>
      </c>
      <c r="C25" s="175">
        <f>SUM(C23:C24)</f>
        <v>6011.8579478591755</v>
      </c>
      <c r="D25" s="83">
        <f>IF(ISERROR(C25/B25),"n/a",C25/B25)</f>
        <v>0.2944332401521744</v>
      </c>
      <c r="E25" s="41"/>
      <c r="F25" s="54"/>
      <c r="G25" s="48"/>
      <c r="H25" s="42">
        <f>SUM(H23:H24)</f>
        <v>10592.256919896916</v>
      </c>
      <c r="I25" s="83">
        <f>H25/B25</f>
        <v>0.5187601823759184</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1.7618940786298556</v>
      </c>
      <c r="G28" s="76"/>
      <c r="H28" s="42">
        <f>C28*F28</f>
        <v>0</v>
      </c>
      <c r="I28" s="83" t="str">
        <f>IF(ISERROR(H28/B28),"n/a",H28/B28)</f>
        <v>n/a</v>
      </c>
      <c r="J28" s="11"/>
    </row>
    <row r="29" spans="1:10" ht="12.75">
      <c r="A29" s="343" t="s">
        <v>292</v>
      </c>
      <c r="B29" s="105">
        <v>0</v>
      </c>
      <c r="C29" s="196">
        <v>0</v>
      </c>
      <c r="D29" s="83" t="s">
        <v>106</v>
      </c>
      <c r="E29" s="41"/>
      <c r="F29" s="54">
        <v>1.7618940786298556</v>
      </c>
      <c r="G29" s="76"/>
      <c r="H29" s="42">
        <f>C29*F29</f>
        <v>0</v>
      </c>
      <c r="I29" s="83" t="str">
        <f>IF(ISERROR(H29/B29),"n/a",H29/B29)</f>
        <v>n/a</v>
      </c>
      <c r="J29" s="11"/>
    </row>
    <row r="30" spans="1:10" ht="12.75">
      <c r="A30" s="344" t="s">
        <v>102</v>
      </c>
      <c r="B30" s="105">
        <f>SUM(B28:B29)</f>
        <v>0</v>
      </c>
      <c r="C30" s="175">
        <f>SUM(C28:C29)</f>
        <v>0</v>
      </c>
      <c r="D30" s="83" t="str">
        <f>IF(ISERROR(C30/B30),"n/a",C30/B30)</f>
        <v>n/a</v>
      </c>
      <c r="E30" s="41"/>
      <c r="F30" s="54"/>
      <c r="G30" s="48"/>
      <c r="H30" s="42">
        <f>SUM(H28:H29)</f>
        <v>0</v>
      </c>
      <c r="I30" s="83" t="str">
        <f>IF(ISERROR(H30/B30),"n/a",H30/B30)</f>
        <v>n/a</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1.7618940786298556</v>
      </c>
      <c r="G33" s="203"/>
      <c r="H33" s="42">
        <f>C33*F33</f>
        <v>0</v>
      </c>
      <c r="I33" s="83" t="str">
        <f>IF(ISERROR(H33/B33),"n/a",H33/B33)</f>
        <v>n/a</v>
      </c>
      <c r="J33" s="11"/>
    </row>
    <row r="34" spans="1:10" ht="12.75">
      <c r="A34" s="343" t="s">
        <v>292</v>
      </c>
      <c r="B34" s="105">
        <v>33852.60821784157</v>
      </c>
      <c r="C34" s="196">
        <f>D34*B34</f>
        <v>9967.333125181212</v>
      </c>
      <c r="D34" s="83">
        <v>0.2944332401521742</v>
      </c>
      <c r="E34" s="41"/>
      <c r="F34" s="54">
        <v>1.7618940786298556</v>
      </c>
      <c r="G34" s="203"/>
      <c r="H34" s="42">
        <f>C34*F34</f>
        <v>17561.385212987992</v>
      </c>
      <c r="I34" s="83">
        <f>IF(ISERROR(H34/B34),"n/a",H34/B34)</f>
        <v>0.518760182375918</v>
      </c>
      <c r="J34" s="11"/>
    </row>
    <row r="35" spans="1:10" ht="12.75">
      <c r="A35" s="344" t="s">
        <v>102</v>
      </c>
      <c r="B35" s="105">
        <f>SUM(B33:B34)</f>
        <v>33852.60821784157</v>
      </c>
      <c r="C35" s="175">
        <f>SUM(C33:C34)</f>
        <v>9967.333125181212</v>
      </c>
      <c r="D35" s="83">
        <f>IF(ISERROR(C35/B35),"n/a",C35/B35)</f>
        <v>0.2944332401521742</v>
      </c>
      <c r="E35" s="41"/>
      <c r="F35" s="54"/>
      <c r="G35" s="48"/>
      <c r="H35" s="42">
        <f>SUM(H33:H34)</f>
        <v>17561.385212987992</v>
      </c>
      <c r="I35" s="83">
        <f>H35/B35</f>
        <v>0.518760182375918</v>
      </c>
      <c r="J35" s="11"/>
    </row>
    <row r="36" spans="1:10" ht="12.75">
      <c r="A36" s="82"/>
      <c r="B36" s="105"/>
      <c r="C36" s="196"/>
      <c r="D36" s="83"/>
      <c r="E36" s="41"/>
      <c r="F36" s="54"/>
      <c r="G36" s="203"/>
      <c r="H36" s="42"/>
      <c r="I36" s="452"/>
      <c r="J36" s="11"/>
    </row>
    <row r="37" spans="1:10" ht="15">
      <c r="A37" s="158" t="s">
        <v>650</v>
      </c>
      <c r="J37" s="11"/>
    </row>
    <row r="38" spans="1:10" ht="1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1.7618940786298556</v>
      </c>
      <c r="G43" s="48"/>
      <c r="H43" s="42">
        <f>C43*F43</f>
        <v>0</v>
      </c>
      <c r="I43" s="83" t="str">
        <f>IF(ISERROR(H43/B43),"n/a",H43/B43)</f>
        <v>n/a</v>
      </c>
      <c r="J43" s="11"/>
    </row>
    <row r="44" spans="1:10" ht="12.75">
      <c r="A44" s="343" t="s">
        <v>292</v>
      </c>
      <c r="B44" s="105">
        <v>1021.7646401349871</v>
      </c>
      <c r="C44" s="196">
        <v>216.42938546873413</v>
      </c>
      <c r="D44" s="83">
        <f>IF(ISERROR(C44/B44),"n/a",C44/B44)</f>
        <v>0.21181921644904572</v>
      </c>
      <c r="E44" s="41"/>
      <c r="F44" s="54">
        <v>1.7618940786298556</v>
      </c>
      <c r="G44" s="48"/>
      <c r="H44" s="42">
        <f>C44*F44</f>
        <v>381.3256526988612</v>
      </c>
      <c r="I44" s="83">
        <f>IF(ISERROR(H44/B44),"n/a",H44/B44)</f>
        <v>0.3732030232015894</v>
      </c>
      <c r="J44" s="11"/>
    </row>
    <row r="45" spans="1:10" ht="12.75">
      <c r="A45" s="344" t="s">
        <v>102</v>
      </c>
      <c r="B45" s="105">
        <f>SUM(B43:B44)</f>
        <v>1021.7646401349871</v>
      </c>
      <c r="C45" s="175">
        <f>SUM(C43:C44)</f>
        <v>216.42938546873413</v>
      </c>
      <c r="D45" s="83">
        <f>IF(ISERROR(C45/B45),"n/a",C45/B45)</f>
        <v>0.21181921644904572</v>
      </c>
      <c r="E45" s="41"/>
      <c r="F45" s="54"/>
      <c r="G45" s="48"/>
      <c r="H45" s="42">
        <f>SUM(H43:H44)</f>
        <v>381.3256526988612</v>
      </c>
      <c r="I45" s="83">
        <f>H45/B45</f>
        <v>0.3732030232015894</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1.7618940786298556</v>
      </c>
      <c r="G48" s="75"/>
      <c r="H48" s="42">
        <f>C48*F48</f>
        <v>0</v>
      </c>
      <c r="I48" s="83" t="str">
        <f>IF(ISERROR(H48/B48),"n/a",H48/B48)</f>
        <v>n/a</v>
      </c>
      <c r="J48" s="11"/>
    </row>
    <row r="49" spans="1:10" ht="12.75">
      <c r="A49" s="343" t="s">
        <v>292</v>
      </c>
      <c r="B49" s="105">
        <v>4742.477850816568</v>
      </c>
      <c r="C49" s="196">
        <v>1004.5479423869199</v>
      </c>
      <c r="D49" s="83">
        <f>IF(ISERROR(C49/B49),"n/a",C49/B49)</f>
        <v>0.21181921644904572</v>
      </c>
      <c r="E49" s="41"/>
      <c r="F49" s="54">
        <v>1.7618940786298556</v>
      </c>
      <c r="G49" s="75"/>
      <c r="H49" s="42">
        <f>C49*F49</f>
        <v>1769.9070713913195</v>
      </c>
      <c r="I49" s="83">
        <f>IF(ISERROR(H49/B49),"n/a",H49/B49)</f>
        <v>0.3732030232015894</v>
      </c>
      <c r="J49" s="11"/>
    </row>
    <row r="50" spans="1:10" ht="12.75">
      <c r="A50" s="344" t="s">
        <v>102</v>
      </c>
      <c r="B50" s="105">
        <f>SUM(B48:B49)</f>
        <v>4742.477850816568</v>
      </c>
      <c r="C50" s="175">
        <f>SUM(C48:C49)</f>
        <v>1004.5479423869199</v>
      </c>
      <c r="D50" s="83">
        <f>IF(ISERROR(C50/B50),"n/a",C50/B50)</f>
        <v>0.21181921644904572</v>
      </c>
      <c r="E50" s="41"/>
      <c r="F50" s="54"/>
      <c r="G50" s="48"/>
      <c r="H50" s="42">
        <f>SUM(H48:H49)</f>
        <v>1769.9070713913195</v>
      </c>
      <c r="I50" s="83">
        <f>H50/B50</f>
        <v>0.3732030232015894</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1.7618940786298556</v>
      </c>
      <c r="G54" s="75"/>
      <c r="H54" s="42">
        <f>IF(B54=0,0,C54*F54)</f>
        <v>0</v>
      </c>
      <c r="I54" s="83" t="str">
        <f>IF(ISERROR(H54/B54),"n/a",H54/B54)</f>
        <v>n/a</v>
      </c>
      <c r="J54" s="11"/>
    </row>
    <row r="55" spans="1:10" ht="12.75">
      <c r="A55" s="343" t="s">
        <v>292</v>
      </c>
      <c r="B55" s="105">
        <v>36.350387237983085</v>
      </c>
      <c r="C55" s="196">
        <v>7.699710542368968</v>
      </c>
      <c r="D55" s="83">
        <f>IF(ISERROR(C55/B55),"n/a",C55/B55)</f>
        <v>0.21181921644904572</v>
      </c>
      <c r="E55" s="41"/>
      <c r="F55" s="54">
        <v>1.7618940786298556</v>
      </c>
      <c r="G55" s="75"/>
      <c r="H55" s="42">
        <f>C55*F55</f>
        <v>13.566074411763758</v>
      </c>
      <c r="I55" s="83">
        <f>IF(ISERROR(H55/B55),"n/a",H55/B55)</f>
        <v>0.3732030232015893</v>
      </c>
      <c r="J55" s="11"/>
    </row>
    <row r="56" spans="1:10" ht="12.75">
      <c r="A56" s="344" t="s">
        <v>102</v>
      </c>
      <c r="B56" s="105">
        <f>SUM(B54:B55)</f>
        <v>36.350387237983085</v>
      </c>
      <c r="C56" s="175">
        <f>SUM(C54:C55)</f>
        <v>7.699710542368968</v>
      </c>
      <c r="D56" s="83">
        <f>IF(ISERROR(C56/B56),"n/a",C56/B56)</f>
        <v>0.21181921644904572</v>
      </c>
      <c r="E56" s="41"/>
      <c r="F56" s="54"/>
      <c r="G56" s="48"/>
      <c r="H56" s="42">
        <f>SUM(H54:H55)</f>
        <v>13.566074411763758</v>
      </c>
      <c r="I56" s="83">
        <f>H56/B56</f>
        <v>0.3732030232015893</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1.7618940786298556</v>
      </c>
      <c r="G59" s="75"/>
      <c r="H59" s="42">
        <f>C59*F59</f>
        <v>0</v>
      </c>
      <c r="I59" s="83" t="str">
        <f>IF(ISERROR(H59/B59),"n/a",H59/B59)</f>
        <v>n/a</v>
      </c>
      <c r="J59" s="11"/>
    </row>
    <row r="60" spans="1:10" ht="12.75">
      <c r="A60" s="343" t="s">
        <v>292</v>
      </c>
      <c r="B60" s="105">
        <v>0</v>
      </c>
      <c r="C60" s="196">
        <v>0</v>
      </c>
      <c r="D60" s="83" t="str">
        <f>IF(ISERROR(C60/B60),"n/a",C60/B60)</f>
        <v>n/a</v>
      </c>
      <c r="E60" s="41"/>
      <c r="F60" s="54">
        <v>1.7618940786298556</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
      <c r="A63" s="158" t="s">
        <v>651</v>
      </c>
      <c r="J63" s="11"/>
    </row>
    <row r="64" spans="1:10" ht="1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6" ht="12.75">
      <c r="A67" s="89" t="s">
        <v>174</v>
      </c>
      <c r="B67" s="105"/>
      <c r="C67" s="175"/>
      <c r="D67" s="83"/>
      <c r="E67" s="41"/>
      <c r="F67" s="54"/>
      <c r="G67" s="48"/>
      <c r="H67" s="42"/>
      <c r="I67" s="83"/>
      <c r="J67" s="11"/>
      <c r="M67" s="140"/>
      <c r="N67" s="140"/>
      <c r="O67" s="140"/>
      <c r="P67" s="140"/>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1.7618940786298556</v>
      </c>
      <c r="G69" s="48"/>
      <c r="H69" s="42">
        <f>C69*F69</f>
        <v>0</v>
      </c>
      <c r="I69" s="83" t="str">
        <f>IF(ISERROR(H69/B69),"n/a",H69/B69)</f>
        <v>n/a</v>
      </c>
      <c r="J69" s="11"/>
    </row>
    <row r="70" spans="1:10" ht="12.75">
      <c r="A70" s="343" t="s">
        <v>292</v>
      </c>
      <c r="B70" s="105">
        <v>7862.796510100412</v>
      </c>
      <c r="C70" s="196">
        <v>101.39896520307411</v>
      </c>
      <c r="D70" s="83">
        <f>IF(ISERROR(C70/B70),"n/a",C70/B70)</f>
        <v>0.012896043420787854</v>
      </c>
      <c r="E70" s="41"/>
      <c r="F70" s="54">
        <v>1.7618940786298556</v>
      </c>
      <c r="G70" s="48"/>
      <c r="H70" s="42">
        <f>C70*F70</f>
        <v>178.65423637049105</v>
      </c>
      <c r="I70" s="83">
        <f>IF(ISERROR(H70/B70),"n/a",H70/B70)</f>
        <v>0.022721462540839624</v>
      </c>
      <c r="J70" s="11"/>
    </row>
    <row r="71" spans="1:10" ht="12.75">
      <c r="A71" s="344" t="s">
        <v>102</v>
      </c>
      <c r="B71" s="105">
        <f>SUM(B69:B70)</f>
        <v>7862.796510100412</v>
      </c>
      <c r="C71" s="196">
        <f>SUM(C69:C70)</f>
        <v>101.39896520307411</v>
      </c>
      <c r="D71" s="83">
        <f>IF(ISERROR(C71/B71),"n/a",C71/B71)</f>
        <v>0.012896043420787854</v>
      </c>
      <c r="E71" s="41"/>
      <c r="F71" s="54"/>
      <c r="G71" s="48"/>
      <c r="H71" s="42">
        <f>SUM(H69:H70)</f>
        <v>178.65423637049105</v>
      </c>
      <c r="I71" s="83">
        <f>H71/B71</f>
        <v>0.022721462540839624</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1.7618940786298556</v>
      </c>
      <c r="G74" s="48"/>
      <c r="H74" s="42">
        <f>C74*F74</f>
        <v>0</v>
      </c>
      <c r="I74" s="83" t="str">
        <f>IF(ISERROR(H74/B74),"n/a",H74/B74)</f>
        <v>n/a</v>
      </c>
      <c r="J74" s="11"/>
    </row>
    <row r="75" spans="1:10" ht="12.75">
      <c r="A75" s="343" t="s">
        <v>292</v>
      </c>
      <c r="B75" s="105">
        <v>33807.229672405396</v>
      </c>
      <c r="C75" s="196">
        <v>435.97950179188865</v>
      </c>
      <c r="D75" s="83">
        <f>IF(ISERROR(C75/B75),"n/a",C75/B75)</f>
        <v>0.012896043420787887</v>
      </c>
      <c r="E75" s="41"/>
      <c r="F75" s="54">
        <v>1.7618940786298556</v>
      </c>
      <c r="G75" s="48"/>
      <c r="H75" s="42">
        <f>C75*F75</f>
        <v>768.1497026111231</v>
      </c>
      <c r="I75" s="83">
        <f>IF(ISERROR(H75/B75),"n/a",H75/B75)</f>
        <v>0.022721462540839683</v>
      </c>
      <c r="J75" s="11"/>
    </row>
    <row r="76" spans="1:10" ht="12.75">
      <c r="A76" s="344" t="s">
        <v>102</v>
      </c>
      <c r="B76" s="105">
        <f>SUM(B74:B75)</f>
        <v>33807.229672405396</v>
      </c>
      <c r="C76" s="196">
        <f>SUM(C74:C75)</f>
        <v>435.97950179188865</v>
      </c>
      <c r="D76" s="83">
        <f>IF(ISERROR(C76/B76),"n/a",C76/B76)</f>
        <v>0.012896043420787887</v>
      </c>
      <c r="E76" s="41"/>
      <c r="F76" s="54"/>
      <c r="G76" s="48"/>
      <c r="H76" s="42">
        <f>SUM(H74:H75)</f>
        <v>768.1497026111231</v>
      </c>
      <c r="I76" s="83">
        <f>H76/B76</f>
        <v>0.022721462540839683</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1.7618940786298556</v>
      </c>
      <c r="G80" s="48"/>
      <c r="H80" s="42">
        <f>C80*F80</f>
        <v>0</v>
      </c>
      <c r="I80" s="83" t="str">
        <f>IF(ISERROR(H80/B80),"n/a",H80/B80)</f>
        <v>n/a</v>
      </c>
      <c r="J80" s="11"/>
    </row>
    <row r="81" spans="1:10" ht="12.75">
      <c r="A81" s="343" t="s">
        <v>292</v>
      </c>
      <c r="B81" s="105">
        <v>7862.796510100412</v>
      </c>
      <c r="C81" s="175">
        <v>1858.2467085080866</v>
      </c>
      <c r="D81" s="83">
        <f>IF(ISERROR(C81/B81),"n/a",C81/B81)</f>
        <v>0.23633407097856535</v>
      </c>
      <c r="E81" s="41"/>
      <c r="F81" s="54">
        <v>1.7618940786298556</v>
      </c>
      <c r="G81" s="48"/>
      <c r="H81" s="42">
        <f>C81*F81</f>
        <v>3274.033872353817</v>
      </c>
      <c r="I81" s="83">
        <f>IF(ISERROR(H81/B81),"n/a",H81/B81)</f>
        <v>0.4163956002356223</v>
      </c>
      <c r="J81" s="11"/>
    </row>
    <row r="82" spans="1:10" ht="12.75">
      <c r="A82" s="344" t="s">
        <v>102</v>
      </c>
      <c r="B82" s="105">
        <f>SUM(B80:B81)</f>
        <v>7862.796510100412</v>
      </c>
      <c r="C82" s="196">
        <f>SUM(C80:C81)</f>
        <v>1858.2467085080866</v>
      </c>
      <c r="D82" s="83">
        <f>IF(ISERROR(C82/B82),"n/a",C82/B82)</f>
        <v>0.23633407097856535</v>
      </c>
      <c r="E82" s="41"/>
      <c r="F82" s="54"/>
      <c r="G82" s="48"/>
      <c r="H82" s="42">
        <f>SUM(H80:H81)</f>
        <v>3274.033872353817</v>
      </c>
      <c r="I82" s="83">
        <f>H82/B82</f>
        <v>0.4163956002356223</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1.7618940786298556</v>
      </c>
      <c r="G85" s="48"/>
      <c r="H85" s="42">
        <f>C85*F85</f>
        <v>0</v>
      </c>
      <c r="I85" s="83" t="str">
        <f>IF(ISERROR(H85/B85),"n/a",H85/B85)</f>
        <v>n/a</v>
      </c>
      <c r="J85" s="11"/>
    </row>
    <row r="86" spans="1:10" ht="12.75">
      <c r="A86" s="343" t="s">
        <v>292</v>
      </c>
      <c r="B86" s="105">
        <v>33807.229672405396</v>
      </c>
      <c r="C86" s="175">
        <v>7989.800216986917</v>
      </c>
      <c r="D86" s="83">
        <f>IF(ISERROR(C86/B86),"n/a",C86/B86)</f>
        <v>0.23633407097856535</v>
      </c>
      <c r="E86" s="41"/>
      <c r="F86" s="54">
        <v>1.7618940786298556</v>
      </c>
      <c r="G86" s="48"/>
      <c r="H86" s="42">
        <f>C86*F86</f>
        <v>14077.181691744785</v>
      </c>
      <c r="I86" s="83">
        <f>IF(ISERROR(H86/B86),"n/a",H86/B86)</f>
        <v>0.4163956002356223</v>
      </c>
      <c r="J86" s="11"/>
    </row>
    <row r="87" spans="1:10" ht="12.75">
      <c r="A87" s="344" t="s">
        <v>102</v>
      </c>
      <c r="B87" s="105">
        <f>SUM(B85:B86)</f>
        <v>33807.229672405396</v>
      </c>
      <c r="C87" s="196">
        <f>SUM(C85:C86)</f>
        <v>7989.800216986917</v>
      </c>
      <c r="D87" s="83">
        <f>IF(ISERROR(C87/B87),"n/a",C87/B87)</f>
        <v>0.23633407097856535</v>
      </c>
      <c r="E87" s="41"/>
      <c r="F87" s="54"/>
      <c r="G87" s="48"/>
      <c r="H87" s="42">
        <f>SUM(H85:H86)</f>
        <v>14077.181691744785</v>
      </c>
      <c r="I87" s="83">
        <f>H87/B87</f>
        <v>0.4163956002356223</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34917.454760013956</v>
      </c>
      <c r="D91" s="31">
        <v>34917.45476001395</v>
      </c>
      <c r="E91" s="130"/>
      <c r="F91" s="128">
        <f>C91-D91</f>
        <v>0</v>
      </c>
      <c r="G91" s="78"/>
      <c r="H91" s="64"/>
      <c r="I91" s="64"/>
      <c r="J91" s="11"/>
    </row>
    <row r="92" spans="1:10" ht="12.75" hidden="1">
      <c r="A92" s="140"/>
      <c r="B92" s="547" t="s">
        <v>195</v>
      </c>
      <c r="C92" s="32">
        <f>SUM(C90:C91)</f>
        <v>34917.454760013956</v>
      </c>
      <c r="D92" s="32">
        <f>SUM(D90:D91)</f>
        <v>34917.45476001395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1228.6770383980231</v>
      </c>
      <c r="D94" s="31">
        <v>1228.677038398023</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c r="D103" s="32"/>
      <c r="E103" s="64"/>
      <c r="F103" s="128">
        <f>C103-D103</f>
        <v>0</v>
      </c>
      <c r="G103" s="78"/>
      <c r="H103" s="242"/>
      <c r="I103" s="64"/>
      <c r="J103" s="11"/>
    </row>
    <row r="104" spans="1:10" ht="12.75" hidden="1">
      <c r="A104" s="140"/>
      <c r="B104" s="548" t="s">
        <v>232</v>
      </c>
      <c r="C104" s="32">
        <f>C24+C29+C34</f>
        <v>15979.191073040387</v>
      </c>
      <c r="D104" s="32">
        <v>15979.19107304039</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1959.6456737111607</v>
      </c>
      <c r="D107" s="32">
        <v>1959.6456737111607</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8425.779718778806</v>
      </c>
      <c r="D109" s="32">
        <v>8425.779718778806</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802</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255" man="1"/>
    <brk id="62" max="255" man="1"/>
  </rowBreaks>
</worksheet>
</file>

<file path=xl/worksheets/sheet22.xml><?xml version="1.0" encoding="utf-8"?>
<worksheet xmlns="http://schemas.openxmlformats.org/spreadsheetml/2006/main" xmlns:r="http://schemas.openxmlformats.org/officeDocument/2006/relationships">
  <sheetPr codeName="Sheet20"/>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561</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1.7618940786298556</v>
      </c>
      <c r="G7" s="75"/>
      <c r="H7" s="42">
        <f>C7*F7</f>
        <v>0</v>
      </c>
      <c r="I7" s="83" t="str">
        <f>IF(ISERROR(H7/B7),"n/a",H7/B7)</f>
        <v>n/a</v>
      </c>
      <c r="J7" s="11"/>
      <c r="K7" s="345"/>
      <c r="L7" s="27"/>
      <c r="M7" s="27"/>
      <c r="N7" s="27"/>
      <c r="O7" s="27"/>
      <c r="P7" s="27"/>
    </row>
    <row r="8" spans="1:16" ht="12.75">
      <c r="A8" s="343" t="s">
        <v>292</v>
      </c>
      <c r="B8" s="105">
        <v>31008.180968034896</v>
      </c>
      <c r="C8" s="196">
        <v>4964.802444985178</v>
      </c>
      <c r="D8" s="83">
        <f>IF(ISERROR(C8/B8),"n/a",C8/B8)</f>
        <v>0.1601126634968751</v>
      </c>
      <c r="E8" s="41"/>
      <c r="F8" s="54">
        <v>1.7618940786298556</v>
      </c>
      <c r="G8" s="75"/>
      <c r="H8" s="42">
        <f>C8*F8</f>
        <v>8747.456029386414</v>
      </c>
      <c r="I8" s="83">
        <f>IF(ISERROR(H8/B8),"n/a",H8/B8)</f>
        <v>0.28210155372879886</v>
      </c>
      <c r="J8" s="11"/>
      <c r="K8" s="27"/>
      <c r="L8" s="27"/>
      <c r="M8" s="27"/>
      <c r="N8" s="27"/>
      <c r="O8" s="27"/>
      <c r="P8" s="27"/>
    </row>
    <row r="9" spans="1:16" ht="12.75">
      <c r="A9" s="344" t="s">
        <v>102</v>
      </c>
      <c r="B9" s="105">
        <f>SUM(B7:B8)</f>
        <v>31008.180968034896</v>
      </c>
      <c r="C9" s="175">
        <f>SUM(C7:C8)</f>
        <v>4964.802444985178</v>
      </c>
      <c r="D9" s="83">
        <f>IF(ISERROR(C9/B9),"n/a",C9/B9)</f>
        <v>0.1601126634968751</v>
      </c>
      <c r="E9" s="41"/>
      <c r="F9" s="54"/>
      <c r="G9" s="48"/>
      <c r="H9" s="42">
        <f>SUM(H7:H8)</f>
        <v>8747.456029386414</v>
      </c>
      <c r="I9" s="83">
        <f>H9/B9</f>
        <v>0.28210155372879886</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1.7618940786298556</v>
      </c>
      <c r="G12" s="48"/>
      <c r="H12" s="42">
        <f>C12*F12</f>
        <v>0</v>
      </c>
      <c r="I12" s="83" t="str">
        <f>IF(ISERROR(H12/B12),"n/a",H12/B12)</f>
        <v>n/a</v>
      </c>
      <c r="J12" s="11"/>
    </row>
    <row r="13" spans="1:10" ht="12.75">
      <c r="A13" s="343" t="s">
        <v>292</v>
      </c>
      <c r="B13" s="105">
        <v>11250.997656751717</v>
      </c>
      <c r="C13" s="196">
        <v>1801.4272018196182</v>
      </c>
      <c r="D13" s="83">
        <f>IF(ISERROR(C13/B13),"n/a",C13/B13)</f>
        <v>0.1601126634968751</v>
      </c>
      <c r="E13" s="41"/>
      <c r="F13" s="54">
        <v>1.7618940786298556</v>
      </c>
      <c r="G13" s="48"/>
      <c r="H13" s="42">
        <f>C13*F13</f>
        <v>3173.923919968735</v>
      </c>
      <c r="I13" s="83">
        <f>IF(ISERROR(H13/B13),"n/a",H13/B13)</f>
        <v>0.2821015537287989</v>
      </c>
      <c r="J13" s="11"/>
    </row>
    <row r="14" spans="1:10" ht="12.75">
      <c r="A14" s="344" t="s">
        <v>102</v>
      </c>
      <c r="B14" s="105">
        <f>SUM(B12:B13)</f>
        <v>11250.997656751717</v>
      </c>
      <c r="C14" s="175">
        <f>SUM(C12:C13)</f>
        <v>1801.4272018196182</v>
      </c>
      <c r="D14" s="83">
        <f>IF(ISERROR(C14/B14),"n/a",C14/B14)</f>
        <v>0.1601126634968751</v>
      </c>
      <c r="E14" s="41"/>
      <c r="F14" s="54"/>
      <c r="G14" s="48"/>
      <c r="H14" s="42">
        <f>SUM(H12:H13)</f>
        <v>3173.923919968735</v>
      </c>
      <c r="I14" s="83">
        <f>H14/B14</f>
        <v>0.2821015537287989</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1.7618940786298556</v>
      </c>
      <c r="G17" s="54"/>
      <c r="H17" s="42">
        <f>C17*F17</f>
        <v>0</v>
      </c>
      <c r="I17" s="83" t="str">
        <f>IF(ISERROR(H17/B17),"n/a",H17/B17)</f>
        <v>n/a</v>
      </c>
      <c r="J17" s="11"/>
    </row>
    <row r="18" spans="1:10" ht="12.75">
      <c r="A18" s="343" t="s">
        <v>292</v>
      </c>
      <c r="B18" s="105">
        <v>2363.0724929097623</v>
      </c>
      <c r="C18" s="196">
        <v>378.35783087598276</v>
      </c>
      <c r="D18" s="83">
        <f>IF(ISERROR(C18/B18),"n/a",C18/B18)</f>
        <v>0.1601126634968752</v>
      </c>
      <c r="E18" s="41"/>
      <c r="F18" s="54">
        <v>1.7618940786298556</v>
      </c>
      <c r="G18" s="54"/>
      <c r="H18" s="42">
        <f>C18*F18</f>
        <v>666.6264218236304</v>
      </c>
      <c r="I18" s="83">
        <f>IF(ISERROR(H18/B18),"n/a",H18/B18)</f>
        <v>0.282101553728799</v>
      </c>
      <c r="J18" s="11"/>
    </row>
    <row r="19" spans="1:10" ht="12.75">
      <c r="A19" s="344" t="s">
        <v>102</v>
      </c>
      <c r="B19" s="105">
        <f>SUM(B17:B18)</f>
        <v>2363.0724929097623</v>
      </c>
      <c r="C19" s="175">
        <f>SUM(C17:C18)</f>
        <v>378.35783087598276</v>
      </c>
      <c r="D19" s="83">
        <f>IF(ISERROR(C19/B19),"n/a",C19/B19)</f>
        <v>0.1601126634968752</v>
      </c>
      <c r="E19" s="41"/>
      <c r="F19" s="54"/>
      <c r="G19" s="48"/>
      <c r="H19" s="42">
        <f>SUM(H17:H18)</f>
        <v>666.6264218236304</v>
      </c>
      <c r="I19" s="83">
        <f>H19/B19</f>
        <v>0.282101553728799</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1.7618940786298556</v>
      </c>
      <c r="G23" s="48"/>
      <c r="H23" s="42">
        <f>C23*F23</f>
        <v>0</v>
      </c>
      <c r="I23" s="83" t="str">
        <f>IF(ISERROR(H23/B23),"n/a",H23/B23)</f>
        <v>n/a</v>
      </c>
      <c r="J23" s="11"/>
    </row>
    <row r="24" spans="1:10" ht="12.75">
      <c r="A24" s="343" t="s">
        <v>292</v>
      </c>
      <c r="B24" s="105">
        <v>1799.497170842191</v>
      </c>
      <c r="C24" s="196">
        <f>D24*B24</f>
        <v>529.8317826557372</v>
      </c>
      <c r="D24" s="83">
        <v>0.2944332401521744</v>
      </c>
      <c r="E24" s="41"/>
      <c r="F24" s="54">
        <v>1.7618940786298556</v>
      </c>
      <c r="G24" s="48"/>
      <c r="H24" s="42">
        <f>C24*F24</f>
        <v>933.507480531044</v>
      </c>
      <c r="I24" s="83">
        <f>IF(ISERROR(H24/B24),"n/a",H24/B24)</f>
        <v>0.5187601823759183</v>
      </c>
      <c r="J24" s="11"/>
    </row>
    <row r="25" spans="1:10" ht="12.75">
      <c r="A25" s="344" t="s">
        <v>102</v>
      </c>
      <c r="B25" s="105">
        <f>SUM(B23:B24)</f>
        <v>1799.497170842191</v>
      </c>
      <c r="C25" s="175">
        <f>SUM(C23:C24)</f>
        <v>529.8317826557372</v>
      </c>
      <c r="D25" s="83">
        <f>IF(ISERROR(C25/B25),"n/a",C25/B25)</f>
        <v>0.2944332401521744</v>
      </c>
      <c r="E25" s="41"/>
      <c r="F25" s="54"/>
      <c r="G25" s="48"/>
      <c r="H25" s="42">
        <f>SUM(H23:H24)</f>
        <v>933.507480531044</v>
      </c>
      <c r="I25" s="83">
        <f>H25/B25</f>
        <v>0.5187601823759183</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1.7618940786298556</v>
      </c>
      <c r="G28" s="76"/>
      <c r="H28" s="42">
        <f>C28*F28</f>
        <v>0</v>
      </c>
      <c r="I28" s="83" t="str">
        <f>IF(ISERROR(H28/B28),"n/a",H28/B28)</f>
        <v>n/a</v>
      </c>
      <c r="J28" s="11"/>
    </row>
    <row r="29" spans="1:10" ht="12.75">
      <c r="A29" s="343" t="s">
        <v>292</v>
      </c>
      <c r="B29" s="105">
        <v>63.6544241744566</v>
      </c>
      <c r="C29" s="196">
        <f>D29*B29</f>
        <v>18.74197835970615</v>
      </c>
      <c r="D29" s="83">
        <v>0.2944332401521743</v>
      </c>
      <c r="E29" s="41"/>
      <c r="F29" s="54">
        <v>1.7618940786298556</v>
      </c>
      <c r="G29" s="76"/>
      <c r="H29" s="42">
        <f>C29*F29</f>
        <v>33.02138069377516</v>
      </c>
      <c r="I29" s="83">
        <f>IF(ISERROR(H29/B29),"n/a",H29/B29)</f>
        <v>0.5187601823759181</v>
      </c>
      <c r="J29" s="11"/>
    </row>
    <row r="30" spans="1:10" ht="12.75">
      <c r="A30" s="344" t="s">
        <v>102</v>
      </c>
      <c r="B30" s="105">
        <f>SUM(B28:B29)</f>
        <v>63.6544241744566</v>
      </c>
      <c r="C30" s="175">
        <f>SUM(C28:C29)</f>
        <v>18.74197835970615</v>
      </c>
      <c r="D30" s="83">
        <f>IF(ISERROR(C30/B30),"n/a",C30/B30)</f>
        <v>0.2944332401521743</v>
      </c>
      <c r="E30" s="41"/>
      <c r="F30" s="54"/>
      <c r="G30" s="48"/>
      <c r="H30" s="42">
        <f>SUM(H28:H29)</f>
        <v>33.02138069377516</v>
      </c>
      <c r="I30" s="83">
        <f>IF(ISERROR(H30/B30),"n/a",H30/B30)</f>
        <v>0.5187601823759181</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1.7618940786298556</v>
      </c>
      <c r="G33" s="203"/>
      <c r="H33" s="42">
        <f>C33*F33</f>
        <v>0</v>
      </c>
      <c r="I33" s="83" t="str">
        <f>IF(ISERROR(H33/B33),"n/a",H33/B33)</f>
        <v>n/a</v>
      </c>
      <c r="J33" s="11"/>
    </row>
    <row r="34" spans="1:10" ht="12.75">
      <c r="A34" s="343" t="s">
        <v>292</v>
      </c>
      <c r="B34" s="105">
        <v>1680.6687249833521</v>
      </c>
      <c r="C34" s="196">
        <f>D34*B34</f>
        <v>494.8447383192719</v>
      </c>
      <c r="D34" s="83">
        <v>0.2944332401521743</v>
      </c>
      <c r="E34" s="41"/>
      <c r="F34" s="54">
        <v>1.7618940786298556</v>
      </c>
      <c r="G34" s="203"/>
      <c r="H34" s="42">
        <f>C34*F34</f>
        <v>871.8640142858656</v>
      </c>
      <c r="I34" s="83">
        <f>IF(ISERROR(H34/B34),"n/a",H34/B34)</f>
        <v>0.5187601823759181</v>
      </c>
      <c r="J34" s="11"/>
    </row>
    <row r="35" spans="1:10" ht="12.75">
      <c r="A35" s="344" t="s">
        <v>102</v>
      </c>
      <c r="B35" s="105">
        <f>SUM(B33:B34)</f>
        <v>1680.6687249833521</v>
      </c>
      <c r="C35" s="175">
        <f>SUM(C33:C34)</f>
        <v>494.8447383192719</v>
      </c>
      <c r="D35" s="83">
        <f>IF(ISERROR(C35/B35),"n/a",C35/B35)</f>
        <v>0.2944332401521743</v>
      </c>
      <c r="E35" s="41"/>
      <c r="F35" s="54"/>
      <c r="G35" s="48"/>
      <c r="H35" s="42">
        <f>SUM(H33:H34)</f>
        <v>871.8640142858656</v>
      </c>
      <c r="I35" s="83">
        <f>H35/B35</f>
        <v>0.5187601823759181</v>
      </c>
      <c r="J35" s="11"/>
    </row>
    <row r="36" spans="1:10" ht="12.75">
      <c r="A36" s="82"/>
      <c r="B36" s="105"/>
      <c r="C36" s="196"/>
      <c r="D36" s="83"/>
      <c r="E36" s="41"/>
      <c r="F36" s="54"/>
      <c r="G36" s="203"/>
      <c r="H36" s="42"/>
      <c r="I36" s="83"/>
      <c r="J36" s="11"/>
    </row>
    <row r="37" spans="1:10" ht="15">
      <c r="A37" s="158" t="s">
        <v>652</v>
      </c>
      <c r="J37" s="11"/>
    </row>
    <row r="38" spans="1:10" ht="1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1.7618940786298556</v>
      </c>
      <c r="G43" s="48"/>
      <c r="H43" s="42">
        <f>C43*F43</f>
        <v>0</v>
      </c>
      <c r="I43" s="83" t="str">
        <f>IF(ISERROR(H43/B43),"n/a",H43/B43)</f>
        <v>n/a</v>
      </c>
      <c r="J43" s="11"/>
    </row>
    <row r="44" spans="1:10" ht="12.75">
      <c r="A44" s="343" t="s">
        <v>292</v>
      </c>
      <c r="B44" s="105">
        <v>0</v>
      </c>
      <c r="C44" s="196">
        <v>0</v>
      </c>
      <c r="D44" s="83" t="str">
        <f>IF(ISERROR(C44/B44),"n/a",C44/B44)</f>
        <v>n/a</v>
      </c>
      <c r="E44" s="41"/>
      <c r="F44" s="54">
        <v>1.7618940786298556</v>
      </c>
      <c r="G44" s="48"/>
      <c r="H44" s="42">
        <f>C44*F44</f>
        <v>0</v>
      </c>
      <c r="I44" s="83" t="str">
        <f>IF(ISERROR(H44/B44),"n/a",H44/B44)</f>
        <v>n/a</v>
      </c>
      <c r="J44" s="11"/>
    </row>
    <row r="45" spans="1:10" ht="12.75">
      <c r="A45" s="344" t="s">
        <v>102</v>
      </c>
      <c r="B45" s="105">
        <f>SUM(B43:B44)</f>
        <v>0</v>
      </c>
      <c r="C45" s="175">
        <f>SUM(C43:C44)</f>
        <v>0</v>
      </c>
      <c r="D45" s="83" t="str">
        <f>IF(ISERROR(C45/B45),"n/a",C45/B45)</f>
        <v>n/a</v>
      </c>
      <c r="E45" s="41"/>
      <c r="F45" s="54"/>
      <c r="G45" s="48"/>
      <c r="H45" s="42">
        <f>SUM(H43:H44)</f>
        <v>0</v>
      </c>
      <c r="I45" s="83" t="str">
        <f>IF(ISERROR(H45/B45),"n/a",H45/B45)</f>
        <v>n/a</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1.7618940786298556</v>
      </c>
      <c r="G48" s="75"/>
      <c r="H48" s="42">
        <f>C48*F48</f>
        <v>0</v>
      </c>
      <c r="I48" s="83" t="str">
        <f>IF(ISERROR(H48/B48),"n/a",H48/B48)</f>
        <v>n/a</v>
      </c>
      <c r="J48" s="11"/>
    </row>
    <row r="49" spans="1:10" ht="12.75">
      <c r="A49" s="343" t="s">
        <v>292</v>
      </c>
      <c r="B49" s="105">
        <v>0</v>
      </c>
      <c r="C49" s="196">
        <v>0</v>
      </c>
      <c r="D49" s="83" t="str">
        <f>IF(ISERROR(C49/B49),"n/a",C49/B49)</f>
        <v>n/a</v>
      </c>
      <c r="E49" s="41"/>
      <c r="F49" s="54">
        <v>1.7618940786298556</v>
      </c>
      <c r="G49" s="75"/>
      <c r="H49" s="42">
        <f>C49*F49</f>
        <v>0</v>
      </c>
      <c r="I49" s="83" t="str">
        <f>IF(ISERROR(H49/B49),"n/a",H49/B49)</f>
        <v>n/a</v>
      </c>
      <c r="J49" s="11"/>
    </row>
    <row r="50" spans="1:10" ht="12.75">
      <c r="A50" s="344" t="s">
        <v>102</v>
      </c>
      <c r="B50" s="105">
        <f>SUM(B48:B49)</f>
        <v>0</v>
      </c>
      <c r="C50" s="175">
        <f>SUM(C48:C49)</f>
        <v>0</v>
      </c>
      <c r="D50" s="83" t="str">
        <f>IF(ISERROR(C50/B50),"n/a",C50/B50)</f>
        <v>n/a</v>
      </c>
      <c r="E50" s="41"/>
      <c r="F50" s="54"/>
      <c r="G50" s="48"/>
      <c r="H50" s="42">
        <f>SUM(H48:H49)</f>
        <v>0</v>
      </c>
      <c r="I50" s="83" t="str">
        <f>IF(ISERROR(H50/B50),"n/a",H50/B50)</f>
        <v>n/a</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1.7618940786298556</v>
      </c>
      <c r="G54" s="75"/>
      <c r="H54" s="42">
        <f>IF(B54=0,0,C54*F54)</f>
        <v>0</v>
      </c>
      <c r="I54" s="83" t="str">
        <f>IF(ISERROR(H54/B54),"n/a",H54/B54)</f>
        <v>n/a</v>
      </c>
      <c r="J54" s="11"/>
    </row>
    <row r="55" spans="1:10" ht="12.75">
      <c r="A55" s="343" t="s">
        <v>292</v>
      </c>
      <c r="B55" s="105">
        <v>0</v>
      </c>
      <c r="C55" s="196">
        <v>0</v>
      </c>
      <c r="D55" s="83" t="str">
        <f>IF(ISERROR(C55/B55),"n/a",C55/B55)</f>
        <v>n/a</v>
      </c>
      <c r="E55" s="41"/>
      <c r="F55" s="54">
        <v>1.7618940786298556</v>
      </c>
      <c r="G55" s="75"/>
      <c r="H55" s="42">
        <f>C55*F55</f>
        <v>0</v>
      </c>
      <c r="I55" s="83" t="str">
        <f>IF(ISERROR(H55/B55),"n/a",H55/B55)</f>
        <v>n/a</v>
      </c>
      <c r="J55" s="11"/>
    </row>
    <row r="56" spans="1:10" ht="12.75">
      <c r="A56" s="344" t="s">
        <v>102</v>
      </c>
      <c r="B56" s="105">
        <f>SUM(B54:B55)</f>
        <v>0</v>
      </c>
      <c r="C56" s="175">
        <f>SUM(C54:C55)</f>
        <v>0</v>
      </c>
      <c r="D56" s="83" t="str">
        <f>IF(ISERROR(C56/B56),"n/a",C56/B56)</f>
        <v>n/a</v>
      </c>
      <c r="E56" s="41"/>
      <c r="F56" s="54"/>
      <c r="G56" s="48"/>
      <c r="H56" s="42">
        <f>SUM(H54:H55)</f>
        <v>0</v>
      </c>
      <c r="I56" s="83" t="str">
        <f>IF(ISERROR(H56/B56),"n/a",H56/B56)</f>
        <v>n/a</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1.7618940786298556</v>
      </c>
      <c r="G59" s="75"/>
      <c r="H59" s="42">
        <f>C59*F59</f>
        <v>0</v>
      </c>
      <c r="I59" s="83" t="str">
        <f>IF(ISERROR(H59/B59),"n/a",H59/B59)</f>
        <v>n/a</v>
      </c>
      <c r="J59" s="11"/>
    </row>
    <row r="60" spans="1:10" ht="12.75">
      <c r="A60" s="343" t="s">
        <v>292</v>
      </c>
      <c r="B60" s="105">
        <v>0</v>
      </c>
      <c r="C60" s="196">
        <v>0</v>
      </c>
      <c r="D60" s="83" t="str">
        <f>IF(ISERROR(C60/B60),"n/a",C60/B60)</f>
        <v>n/a</v>
      </c>
      <c r="E60" s="41"/>
      <c r="F60" s="54">
        <v>1.7618940786298556</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
      <c r="A63" s="158" t="s">
        <v>653</v>
      </c>
      <c r="J63" s="11"/>
    </row>
    <row r="64" spans="1:10" ht="1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0" ht="12.75">
      <c r="A67" s="89" t="s">
        <v>174</v>
      </c>
      <c r="B67" s="105"/>
      <c r="C67" s="175"/>
      <c r="D67" s="83"/>
      <c r="E67" s="41"/>
      <c r="F67" s="54"/>
      <c r="G67" s="48"/>
      <c r="H67" s="42"/>
      <c r="I67" s="83"/>
      <c r="J67" s="11"/>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1.7618940786298556</v>
      </c>
      <c r="G69" s="48"/>
      <c r="H69" s="42">
        <f>C69*F69</f>
        <v>0</v>
      </c>
      <c r="I69" s="83" t="str">
        <f>IF(ISERROR(H69/B69),"n/a",H69/B69)</f>
        <v>n/a</v>
      </c>
      <c r="J69" s="11"/>
    </row>
    <row r="70" spans="1:10" ht="12.75">
      <c r="A70" s="343" t="s">
        <v>292</v>
      </c>
      <c r="B70" s="105">
        <v>1291.9741040022134</v>
      </c>
      <c r="C70" s="196">
        <v>16.661354143745996</v>
      </c>
      <c r="D70" s="83">
        <f>IF(ISERROR(C70/B70),"n/a",C70/B70)</f>
        <v>0.012896043420787831</v>
      </c>
      <c r="E70" s="41"/>
      <c r="F70" s="54">
        <v>1.7618940786298556</v>
      </c>
      <c r="G70" s="48"/>
      <c r="H70" s="42">
        <f>C70*F70</f>
        <v>29.355541207821076</v>
      </c>
      <c r="I70" s="83">
        <f>IF(ISERROR(H70/B70),"n/a",H70/B70)</f>
        <v>0.022721462540839583</v>
      </c>
      <c r="J70" s="11"/>
    </row>
    <row r="71" spans="1:10" ht="12.75">
      <c r="A71" s="344" t="s">
        <v>102</v>
      </c>
      <c r="B71" s="105">
        <f>SUM(B69:B70)</f>
        <v>1291.9741040022134</v>
      </c>
      <c r="C71" s="196">
        <f>SUM(C69:C70)</f>
        <v>16.661354143745996</v>
      </c>
      <c r="D71" s="83">
        <f>IF(ISERROR(C71/B71),"n/a",C71/B71)</f>
        <v>0.012896043420787831</v>
      </c>
      <c r="E71" s="41"/>
      <c r="F71" s="54"/>
      <c r="G71" s="48"/>
      <c r="H71" s="42">
        <f>SUM(H69:H70)</f>
        <v>29.355541207821076</v>
      </c>
      <c r="I71" s="83">
        <f>H71/B71</f>
        <v>0.022721462540839583</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1.7618940786298556</v>
      </c>
      <c r="G74" s="48"/>
      <c r="H74" s="42">
        <f>C74*F74</f>
        <v>0</v>
      </c>
      <c r="I74" s="83" t="str">
        <f>IF(ISERROR(H74/B74),"n/a",H74/B74)</f>
        <v>n/a</v>
      </c>
      <c r="J74" s="11"/>
    </row>
    <row r="75" spans="1:10" ht="12.75">
      <c r="A75" s="343" t="s">
        <v>292</v>
      </c>
      <c r="B75" s="105">
        <v>4703.162127926124</v>
      </c>
      <c r="C75" s="196">
        <v>60.65218301674054</v>
      </c>
      <c r="D75" s="83">
        <f>IF(ISERROR(C75/B75),"n/a",C75/B75)</f>
        <v>0.012896043420787904</v>
      </c>
      <c r="E75" s="41"/>
      <c r="F75" s="54">
        <v>1.7618940786298556</v>
      </c>
      <c r="G75" s="48"/>
      <c r="H75" s="42">
        <f>C75*F75</f>
        <v>106.86272211316944</v>
      </c>
      <c r="I75" s="83">
        <f>IF(ISERROR(H75/B75),"n/a",H75/B75)</f>
        <v>0.022721462540839715</v>
      </c>
      <c r="J75" s="11"/>
    </row>
    <row r="76" spans="1:10" ht="12.75">
      <c r="A76" s="344" t="s">
        <v>102</v>
      </c>
      <c r="B76" s="105">
        <f>SUM(B74:B75)</f>
        <v>4703.162127926124</v>
      </c>
      <c r="C76" s="196">
        <f>SUM(C74:C75)</f>
        <v>60.65218301674054</v>
      </c>
      <c r="D76" s="83">
        <f>IF(ISERROR(C76/B76),"n/a",C76/B76)</f>
        <v>0.012896043420787904</v>
      </c>
      <c r="E76" s="41"/>
      <c r="F76" s="54"/>
      <c r="G76" s="48"/>
      <c r="H76" s="42">
        <f>SUM(H74:H75)</f>
        <v>106.86272211316944</v>
      </c>
      <c r="I76" s="83">
        <f>H76/B76</f>
        <v>0.022721462540839715</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1.7618940786298556</v>
      </c>
      <c r="G80" s="48"/>
      <c r="H80" s="42">
        <f>C80*F80</f>
        <v>0</v>
      </c>
      <c r="I80" s="83" t="str">
        <f>IF(ISERROR(H80/B80),"n/a",H80/B80)</f>
        <v>n/a</v>
      </c>
      <c r="J80" s="11"/>
    </row>
    <row r="81" spans="1:10" ht="12.75">
      <c r="A81" s="343" t="s">
        <v>292</v>
      </c>
      <c r="B81" s="105">
        <v>1291.9741040022134</v>
      </c>
      <c r="C81" s="175">
        <v>305.33749959772746</v>
      </c>
      <c r="D81" s="83">
        <f>IF(ISERROR(C81/B81),"n/a",C81/B81)</f>
        <v>0.23633407097856535</v>
      </c>
      <c r="E81" s="41"/>
      <c r="F81" s="54">
        <v>1.7618940786298556</v>
      </c>
      <c r="G81" s="48"/>
      <c r="H81" s="42">
        <f>C81*F81</f>
        <v>537.972332524882</v>
      </c>
      <c r="I81" s="83">
        <f>IF(ISERROR(H81/B81),"n/a",H81/B81)</f>
        <v>0.4163956002356223</v>
      </c>
      <c r="J81" s="11"/>
    </row>
    <row r="82" spans="1:10" ht="12.75">
      <c r="A82" s="344" t="s">
        <v>102</v>
      </c>
      <c r="B82" s="105">
        <f>SUM(B80:B81)</f>
        <v>1291.9741040022134</v>
      </c>
      <c r="C82" s="196">
        <f>SUM(C80:C81)</f>
        <v>305.33749959772746</v>
      </c>
      <c r="D82" s="83">
        <f>IF(ISERROR(C82/B82),"n/a",C82/B82)</f>
        <v>0.23633407097856535</v>
      </c>
      <c r="E82" s="41"/>
      <c r="F82" s="54"/>
      <c r="G82" s="48"/>
      <c r="H82" s="42">
        <f>SUM(H80:H81)</f>
        <v>537.972332524882</v>
      </c>
      <c r="I82" s="83">
        <f>H82/B82</f>
        <v>0.4163956002356223</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1.7618940786298556</v>
      </c>
      <c r="G85" s="48"/>
      <c r="H85" s="42">
        <f>C85*F85</f>
        <v>0</v>
      </c>
      <c r="I85" s="83" t="str">
        <f>IF(ISERROR(H85/B85),"n/a",H85/B85)</f>
        <v>n/a</v>
      </c>
      <c r="J85" s="11"/>
    </row>
    <row r="86" spans="1:10" ht="12.75">
      <c r="A86" s="343" t="s">
        <v>292</v>
      </c>
      <c r="B86" s="105">
        <v>4703.162127926124</v>
      </c>
      <c r="C86" s="175">
        <v>1111.5174521649928</v>
      </c>
      <c r="D86" s="83">
        <f>IF(ISERROR(C86/B86),"n/a",C86/B86)</f>
        <v>0.2363340709785653</v>
      </c>
      <c r="E86" s="41"/>
      <c r="F86" s="54">
        <v>1.7618940786298556</v>
      </c>
      <c r="G86" s="48"/>
      <c r="H86" s="42">
        <f>C86*F86</f>
        <v>1958.3760172632446</v>
      </c>
      <c r="I86" s="83">
        <f>IF(ISERROR(H86/B86),"n/a",H86/B86)</f>
        <v>0.41639560023562217</v>
      </c>
      <c r="J86" s="11"/>
    </row>
    <row r="87" spans="1:10" ht="12.75">
      <c r="A87" s="344" t="s">
        <v>102</v>
      </c>
      <c r="B87" s="105">
        <f>SUM(B85:B86)</f>
        <v>4703.162127926124</v>
      </c>
      <c r="C87" s="196">
        <f>SUM(C85:C86)</f>
        <v>1111.5174521649928</v>
      </c>
      <c r="D87" s="83">
        <f>IF(ISERROR(C87/B87),"n/a",C87/B87)</f>
        <v>0.2363340709785653</v>
      </c>
      <c r="E87" s="41"/>
      <c r="F87" s="54"/>
      <c r="G87" s="48"/>
      <c r="H87" s="42">
        <f>SUM(H85:H86)</f>
        <v>1958.3760172632446</v>
      </c>
      <c r="I87" s="83">
        <f>H87/B87</f>
        <v>0.41639560023562217</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8188.005977015493</v>
      </c>
      <c r="D91" s="31">
        <v>8188.005977015495</v>
      </c>
      <c r="E91" s="130"/>
      <c r="F91" s="128">
        <f>C91-D91</f>
        <v>0</v>
      </c>
      <c r="G91" s="78"/>
      <c r="H91" s="64"/>
      <c r="I91" s="64"/>
      <c r="J91" s="11"/>
    </row>
    <row r="92" spans="1:10" ht="12.75" hidden="1">
      <c r="A92" s="140"/>
      <c r="B92" s="547" t="s">
        <v>195</v>
      </c>
      <c r="C92" s="32">
        <f>SUM(C90:C91)</f>
        <v>8188.005977015493</v>
      </c>
      <c r="D92" s="32">
        <f>SUM(D90:D91)</f>
        <v>8188.005977015495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0</v>
      </c>
      <c r="D94" s="31">
        <v>0</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f>C23+C28+C33</f>
        <v>0</v>
      </c>
      <c r="D103" s="32">
        <v>0</v>
      </c>
      <c r="E103" s="64"/>
      <c r="F103" s="128">
        <f>C103-D103</f>
        <v>0</v>
      </c>
      <c r="G103" s="78"/>
      <c r="H103" s="242"/>
      <c r="I103" s="64"/>
      <c r="J103" s="11"/>
    </row>
    <row r="104" spans="1:10" ht="12.75" hidden="1">
      <c r="A104" s="140"/>
      <c r="B104" s="548" t="s">
        <v>232</v>
      </c>
      <c r="C104" s="32">
        <f>C24+C29+C34</f>
        <v>1043.4184993347153</v>
      </c>
      <c r="D104" s="32">
        <v>1043.4184993347158</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321.99885374147345</v>
      </c>
      <c r="D107" s="32">
        <v>321.99885374147345</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1172.1696351817334</v>
      </c>
      <c r="D109" s="32">
        <v>1172.1696351817334</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803</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sheetPr codeName="Sheet25">
    <pageSetUpPr fitToPage="1"/>
  </sheetPr>
  <dimension ref="A1:Q34"/>
  <sheetViews>
    <sheetView zoomScale="70" zoomScaleNormal="70" zoomScalePageLayoutView="0" workbookViewId="0" topLeftCell="A1">
      <selection activeCell="A1" sqref="A1"/>
    </sheetView>
  </sheetViews>
  <sheetFormatPr defaultColWidth="9.140625" defaultRowHeight="12.75"/>
  <cols>
    <col min="1" max="1" width="25.7109375" style="11" customWidth="1"/>
    <col min="2" max="2" width="9.28125" style="11" customWidth="1"/>
    <col min="3" max="3" width="2.7109375" style="11" customWidth="1"/>
    <col min="4" max="4" width="8.7109375" style="11" customWidth="1"/>
    <col min="5" max="5" width="2.7109375" style="11" customWidth="1"/>
    <col min="6" max="6" width="9.28125" style="11" customWidth="1"/>
    <col min="7" max="7" width="2.7109375" style="11" customWidth="1"/>
    <col min="8" max="8" width="7.421875" style="11" customWidth="1"/>
    <col min="9" max="9" width="3.28125" style="11" customWidth="1"/>
    <col min="10" max="10" width="9.28125" style="11" customWidth="1"/>
    <col min="11" max="11" width="7.421875" style="11" customWidth="1"/>
    <col min="12" max="16384" width="9.140625" style="11" customWidth="1"/>
  </cols>
  <sheetData>
    <row r="1" spans="1:5" ht="15">
      <c r="A1" s="158" t="s">
        <v>562</v>
      </c>
      <c r="B1" s="36"/>
      <c r="C1" s="36"/>
      <c r="D1" s="36"/>
      <c r="E1" s="36"/>
    </row>
    <row r="2" spans="1:8" ht="15">
      <c r="A2" s="158" t="s">
        <v>787</v>
      </c>
      <c r="B2" s="36"/>
      <c r="C2" s="36"/>
      <c r="D2" s="36"/>
      <c r="E2" s="36"/>
      <c r="H2" s="48"/>
    </row>
    <row r="3" spans="2:11" ht="39.75" customHeight="1">
      <c r="B3" s="160" t="s">
        <v>216</v>
      </c>
      <c r="C3" s="160"/>
      <c r="D3" s="160" t="s">
        <v>257</v>
      </c>
      <c r="E3" s="160"/>
      <c r="F3" s="160" t="s">
        <v>478</v>
      </c>
      <c r="G3" s="160"/>
      <c r="H3" s="160" t="s">
        <v>271</v>
      </c>
      <c r="J3" s="160" t="s">
        <v>273</v>
      </c>
      <c r="K3" s="160" t="s">
        <v>272</v>
      </c>
    </row>
    <row r="4" ht="12.75">
      <c r="A4" s="25" t="s">
        <v>784</v>
      </c>
    </row>
    <row r="5" spans="1:8" ht="12.75">
      <c r="A5" s="11" t="s">
        <v>212</v>
      </c>
      <c r="B5" s="40">
        <v>0</v>
      </c>
      <c r="C5" s="285"/>
      <c r="F5" s="40">
        <v>0</v>
      </c>
      <c r="G5" s="285"/>
      <c r="H5" s="162">
        <v>0</v>
      </c>
    </row>
    <row r="6" spans="1:3" ht="12.75">
      <c r="A6" s="25" t="s">
        <v>262</v>
      </c>
      <c r="B6" s="40">
        <v>0</v>
      </c>
      <c r="C6" s="285"/>
    </row>
    <row r="7" spans="1:5" ht="12.75">
      <c r="A7" s="25" t="s">
        <v>263</v>
      </c>
      <c r="B7" s="53">
        <f>B6*D7</f>
        <v>0</v>
      </c>
      <c r="C7" s="53"/>
      <c r="D7" s="163"/>
      <c r="E7" s="305"/>
    </row>
    <row r="8" spans="1:3" ht="12.75">
      <c r="A8" s="25" t="s">
        <v>213</v>
      </c>
      <c r="B8" s="53">
        <f>B5-B7</f>
        <v>0</v>
      </c>
      <c r="C8" s="53"/>
    </row>
    <row r="9" spans="1:5" ht="12.75">
      <c r="A9" s="25" t="s">
        <v>214</v>
      </c>
      <c r="B9" s="53">
        <f>B8*D9</f>
        <v>0</v>
      </c>
      <c r="C9" s="53"/>
      <c r="D9" s="163"/>
      <c r="E9" s="305"/>
    </row>
    <row r="10" spans="1:8" ht="12.75">
      <c r="A10" s="25" t="s">
        <v>215</v>
      </c>
      <c r="B10" s="53">
        <f>B8-B9</f>
        <v>0</v>
      </c>
      <c r="C10" s="53"/>
      <c r="H10" s="162"/>
    </row>
    <row r="11" spans="1:11" ht="12.75">
      <c r="A11" s="25" t="s">
        <v>785</v>
      </c>
      <c r="B11" s="53">
        <v>0</v>
      </c>
      <c r="C11" s="304"/>
      <c r="H11" s="162">
        <v>0</v>
      </c>
      <c r="I11" s="305"/>
      <c r="J11" s="335">
        <v>0.9952967509530305</v>
      </c>
      <c r="K11" s="162">
        <f>H11/J11</f>
        <v>0</v>
      </c>
    </row>
    <row r="12" spans="1:11" ht="12.75">
      <c r="A12" s="25" t="s">
        <v>786</v>
      </c>
      <c r="B12" s="53">
        <f>B10-B11</f>
        <v>0</v>
      </c>
      <c r="C12" s="53"/>
      <c r="H12" s="162">
        <v>0</v>
      </c>
      <c r="I12" s="305"/>
      <c r="J12" s="335">
        <v>0.9952967509530305</v>
      </c>
      <c r="K12" s="162">
        <f>H12/J12</f>
        <v>0</v>
      </c>
    </row>
    <row r="13" spans="1:8" ht="7.5" customHeight="1">
      <c r="A13" s="25"/>
      <c r="B13" s="53"/>
      <c r="C13" s="53"/>
      <c r="H13" s="162"/>
    </row>
    <row r="14" spans="1:8" ht="7.5" customHeight="1">
      <c r="A14" s="25"/>
      <c r="B14" s="53"/>
      <c r="C14" s="53"/>
      <c r="H14" s="162"/>
    </row>
    <row r="15" ht="7.5" customHeight="1"/>
    <row r="16" ht="12.75">
      <c r="A16" s="25" t="s">
        <v>227</v>
      </c>
    </row>
    <row r="17" spans="1:8" ht="12.75">
      <c r="A17" s="11" t="s">
        <v>212</v>
      </c>
      <c r="B17" s="40">
        <v>352828.131</v>
      </c>
      <c r="C17" s="285" t="s">
        <v>236</v>
      </c>
      <c r="F17" s="40">
        <v>2973.7304</v>
      </c>
      <c r="G17" s="285" t="s">
        <v>236</v>
      </c>
      <c r="H17" s="162">
        <f>B17/F17</f>
        <v>118.6483250129198</v>
      </c>
    </row>
    <row r="18" spans="1:3" ht="12.75">
      <c r="A18" s="25" t="s">
        <v>262</v>
      </c>
      <c r="B18" s="40">
        <v>43033.92255828471</v>
      </c>
      <c r="C18" s="285" t="s">
        <v>236</v>
      </c>
    </row>
    <row r="19" spans="1:5" ht="12.75">
      <c r="A19" s="25" t="s">
        <v>263</v>
      </c>
      <c r="B19" s="53">
        <f>B18*D19</f>
        <v>633.8812567492447</v>
      </c>
      <c r="C19" s="53"/>
      <c r="D19" s="163">
        <v>0.014729804281511228</v>
      </c>
      <c r="E19" s="305" t="s">
        <v>239</v>
      </c>
    </row>
    <row r="20" spans="1:3" ht="12.75">
      <c r="A20" s="25" t="s">
        <v>213</v>
      </c>
      <c r="B20" s="53">
        <f>B17-B19</f>
        <v>352194.2497432507</v>
      </c>
      <c r="C20" s="53"/>
    </row>
    <row r="21" spans="1:5" ht="12.75">
      <c r="A21" s="25" t="s">
        <v>214</v>
      </c>
      <c r="B21" s="53">
        <f>B20*D21</f>
        <v>3904.6605322048295</v>
      </c>
      <c r="C21" s="53"/>
      <c r="D21" s="163">
        <v>0.011086667471292683</v>
      </c>
      <c r="E21" s="305" t="s">
        <v>240</v>
      </c>
    </row>
    <row r="22" spans="1:8" ht="12.75">
      <c r="A22" s="25" t="s">
        <v>215</v>
      </c>
      <c r="B22" s="53">
        <f>B20-B21</f>
        <v>348289.5892110459</v>
      </c>
      <c r="C22" s="53"/>
      <c r="H22" s="162"/>
    </row>
    <row r="23" spans="1:11" ht="12.75">
      <c r="A23" s="25" t="s">
        <v>785</v>
      </c>
      <c r="B23" s="53">
        <v>142789.06047166753</v>
      </c>
      <c r="C23" s="304" t="s">
        <v>238</v>
      </c>
      <c r="H23" s="162">
        <f>H24/2</f>
        <v>106.57787103941583</v>
      </c>
      <c r="I23" s="305" t="s">
        <v>241</v>
      </c>
      <c r="J23" s="335">
        <v>0.9952967509530305</v>
      </c>
      <c r="K23" s="162">
        <f>H23/J23</f>
        <v>107.08150201170042</v>
      </c>
    </row>
    <row r="24" spans="1:11" ht="12.75">
      <c r="A24" s="25" t="s">
        <v>786</v>
      </c>
      <c r="B24" s="53">
        <f>B22-B23</f>
        <v>205500.52873937835</v>
      </c>
      <c r="C24" s="53"/>
      <c r="H24" s="162">
        <f>(3*B23+B24)/F17</f>
        <v>213.15574207883165</v>
      </c>
      <c r="I24" s="305" t="s">
        <v>242</v>
      </c>
      <c r="J24" s="335">
        <v>0.9952967509530305</v>
      </c>
      <c r="K24" s="162">
        <f>H24/J24</f>
        <v>214.16300402340084</v>
      </c>
    </row>
    <row r="25" spans="1:5" ht="12.75">
      <c r="A25" s="141"/>
      <c r="B25" s="141"/>
      <c r="C25" s="141"/>
      <c r="D25" s="141"/>
      <c r="E25" s="141"/>
    </row>
    <row r="26" ht="12.75">
      <c r="A26" s="24" t="s">
        <v>235</v>
      </c>
    </row>
    <row r="27" ht="12.75">
      <c r="A27" s="25" t="s">
        <v>804</v>
      </c>
    </row>
    <row r="28" ht="12.75">
      <c r="A28" s="25" t="s">
        <v>805</v>
      </c>
    </row>
    <row r="29" spans="1:17" ht="24.75" customHeight="1">
      <c r="A29" s="611" t="s">
        <v>806</v>
      </c>
      <c r="B29" s="612"/>
      <c r="C29" s="612"/>
      <c r="D29" s="612"/>
      <c r="E29" s="612"/>
      <c r="F29" s="612"/>
      <c r="M29" s="140"/>
      <c r="N29" s="140"/>
      <c r="O29" s="140"/>
      <c r="P29" s="140"/>
      <c r="Q29" s="140"/>
    </row>
    <row r="30" spans="1:6" ht="24.75" customHeight="1">
      <c r="A30" s="611" t="s">
        <v>807</v>
      </c>
      <c r="B30" s="612"/>
      <c r="C30" s="612"/>
      <c r="D30" s="612"/>
      <c r="E30" s="612"/>
      <c r="F30" s="612"/>
    </row>
    <row r="31" spans="1:6" ht="24.75" customHeight="1">
      <c r="A31" s="611" t="s">
        <v>264</v>
      </c>
      <c r="B31" s="612"/>
      <c r="C31" s="612"/>
      <c r="D31" s="612"/>
      <c r="E31" s="612"/>
      <c r="F31" s="612"/>
    </row>
    <row r="32" spans="1:6" ht="24.75" customHeight="1">
      <c r="A32" s="611" t="s">
        <v>265</v>
      </c>
      <c r="B32" s="612"/>
      <c r="C32" s="612"/>
      <c r="D32" s="612"/>
      <c r="E32" s="612"/>
      <c r="F32" s="612"/>
    </row>
    <row r="33" ht="12.75">
      <c r="A33" s="12" t="s">
        <v>0</v>
      </c>
    </row>
    <row r="34" ht="12.75">
      <c r="A34" s="12" t="s">
        <v>1</v>
      </c>
    </row>
  </sheetData>
  <sheetProtection/>
  <mergeCells count="4">
    <mergeCell ref="A29:F29"/>
    <mergeCell ref="A30:F30"/>
    <mergeCell ref="A31:F31"/>
    <mergeCell ref="A32:F32"/>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sheetPr codeName="Sheet21">
    <pageSetUpPr fitToPage="1"/>
  </sheetPr>
  <dimension ref="A1:K22"/>
  <sheetViews>
    <sheetView zoomScale="70" zoomScaleNormal="70" zoomScalePageLayoutView="0" workbookViewId="0" topLeftCell="A1">
      <selection activeCell="A1" sqref="A1"/>
    </sheetView>
  </sheetViews>
  <sheetFormatPr defaultColWidth="9.140625" defaultRowHeight="12.75"/>
  <cols>
    <col min="1" max="1" width="12.421875" style="0" customWidth="1"/>
    <col min="2" max="2" width="15.8515625" style="0" customWidth="1"/>
    <col min="3" max="5" width="11.7109375" style="0" customWidth="1"/>
    <col min="6" max="6" width="3.7109375" style="0" customWidth="1"/>
    <col min="7" max="7" width="11.7109375" style="0" customWidth="1"/>
    <col min="8" max="8" width="3.7109375" style="0" customWidth="1"/>
    <col min="9" max="10" width="11.7109375" style="0" customWidth="1"/>
  </cols>
  <sheetData>
    <row r="1" spans="1:2" ht="15">
      <c r="A1" s="443" t="s">
        <v>54</v>
      </c>
      <c r="B1" s="158"/>
    </row>
    <row r="2" spans="1:2" ht="15">
      <c r="A2" s="158" t="s">
        <v>787</v>
      </c>
      <c r="B2" s="443"/>
    </row>
    <row r="3" spans="1:11" ht="25.5">
      <c r="A3" s="445" t="s">
        <v>399</v>
      </c>
      <c r="B3" s="444" t="s">
        <v>348</v>
      </c>
      <c r="C3" s="168" t="s">
        <v>250</v>
      </c>
      <c r="D3" s="189" t="s">
        <v>249</v>
      </c>
      <c r="E3" s="8" t="s">
        <v>104</v>
      </c>
      <c r="F3" s="8"/>
      <c r="G3" s="199" t="s">
        <v>246</v>
      </c>
      <c r="H3" s="87"/>
      <c r="I3" s="160" t="s">
        <v>218</v>
      </c>
      <c r="J3" s="41" t="s">
        <v>133</v>
      </c>
      <c r="K3" s="11"/>
    </row>
    <row r="4" spans="1:10" ht="12.75">
      <c r="A4" s="12" t="s">
        <v>2</v>
      </c>
      <c r="B4" t="s">
        <v>278</v>
      </c>
      <c r="C4" s="6">
        <f>SUM('Table 3.24-CIOSS Detail'!E4,'Table 3.24-CIOSS Detail'!E19)</f>
        <v>584173.675943854</v>
      </c>
      <c r="D4" s="42">
        <f>SUM('Table 3.24-CIOSS Detail'!F4,'Table 3.24-CIOSS Detail'!F19)</f>
        <v>13303.153851011857</v>
      </c>
      <c r="E4" s="83">
        <f>IF(ISERROR(D4/C4),"n/a",D4/C4)</f>
        <v>0.02277260068166859</v>
      </c>
      <c r="G4" s="29">
        <v>2.6423191141485964</v>
      </c>
      <c r="I4" s="42">
        <f>D4*G4</f>
        <v>35151.17769898814</v>
      </c>
      <c r="J4" s="83">
        <f>IF(ISERROR(I4/C4),"n/a",I4/C4)</f>
        <v>0.060172478060046275</v>
      </c>
    </row>
    <row r="5" spans="2:10" ht="12.75">
      <c r="B5" s="12" t="s">
        <v>431</v>
      </c>
      <c r="C5" s="6">
        <f>SUM('Table 3.24-CIOSS Detail'!E5,'Table 3.24-CIOSS Detail'!E12,'Table 3.24-CIOSS Detail'!E20,'Table 3.24-CIOSS Detail'!E27,'Table 3.24-CIOSS Detail'!E34)</f>
        <v>1135274.2777882225</v>
      </c>
      <c r="D5" s="42">
        <f>SUM('Table 3.24-CIOSS Detail'!F5,'Table 3.24-CIOSS Detail'!F12,'Table 3.24-CIOSS Detail'!F20,'Table 3.24-CIOSS Detail'!F27,'Table 3.24-CIOSS Detail'!F34)</f>
        <v>-4218.835381563198</v>
      </c>
      <c r="E5" s="83">
        <f>IF(ISERROR(D5/C5),"n/a",D5/C5)</f>
        <v>-0.003716137557333253</v>
      </c>
      <c r="G5" s="29">
        <v>2.6423191141485964</v>
      </c>
      <c r="I5" s="42">
        <f>D5*G5</f>
        <v>-11147.509368150826</v>
      </c>
      <c r="J5" s="83">
        <f>IF(ISERROR(I5/C5),"n/a",I5/C5)</f>
        <v>-0.009819221298547131</v>
      </c>
    </row>
    <row r="6" spans="2:10" ht="12.75">
      <c r="B6" t="s">
        <v>279</v>
      </c>
      <c r="C6" s="6">
        <f>SUM('Table 3.24-CIOSS Detail'!E6,'Table 3.24-CIOSS Detail'!E13,'Table 3.24-CIOSS Detail'!E21,'Table 3.24-CIOSS Detail'!E28)</f>
        <v>635333.8014727015</v>
      </c>
      <c r="D6" s="42">
        <f>SUM('Table 3.24-CIOSS Detail'!F6,'Table 3.24-CIOSS Detail'!F13,'Table 3.24-CIOSS Detail'!F21,'Table 3.24-CIOSS Detail'!F28)</f>
        <v>14826.810677932222</v>
      </c>
      <c r="E6" s="83">
        <f>IF(ISERROR(D6/C6),"n/a",D6/C6)</f>
        <v>0.023337040534540627</v>
      </c>
      <c r="G6" s="29">
        <v>2.6423191141485964</v>
      </c>
      <c r="I6" s="42">
        <f>D6*G6</f>
        <v>39177.16525616282</v>
      </c>
      <c r="J6" s="83">
        <f>IF(ISERROR(I6/C6),"n/a",I6/C6)</f>
        <v>0.06166390827207728</v>
      </c>
    </row>
    <row r="7" spans="3:4" ht="12.75">
      <c r="C7" s="6"/>
      <c r="D7" s="42"/>
    </row>
    <row r="8" spans="1:10" ht="12.75">
      <c r="A8" s="12" t="s">
        <v>3</v>
      </c>
      <c r="B8" t="s">
        <v>278</v>
      </c>
      <c r="C8" s="6">
        <f>SUM('Table 3.24-CIOSS Detail'!E8,'Table 3.24-CIOSS Detail'!E23)</f>
        <v>119966.47805614605</v>
      </c>
      <c r="D8" s="42">
        <f>SUM('Table 3.24-CIOSS Detail'!F8,'Table 3.24-CIOSS Detail'!F23)</f>
        <v>2731.9486999587725</v>
      </c>
      <c r="E8" s="83">
        <f>IF(ISERROR(D8/C8),"n/a",D8/C8)</f>
        <v>0.022772600681668597</v>
      </c>
      <c r="G8" s="29">
        <v>2.6423191141485964</v>
      </c>
      <c r="I8" s="42">
        <f>D8*G8</f>
        <v>7218.680268774474</v>
      </c>
      <c r="J8" s="83">
        <f>IF(ISERROR(I8/C8),"n/a",I8/C8)</f>
        <v>0.060172478060046296</v>
      </c>
    </row>
    <row r="9" spans="2:10" ht="12.75">
      <c r="B9" s="12" t="s">
        <v>373</v>
      </c>
      <c r="C9" s="6">
        <f>SUM('Table 3.24-CIOSS Detail'!E9,'Table 3.24-CIOSS Detail'!E24)</f>
        <v>4243.6282782971075</v>
      </c>
      <c r="D9" s="42">
        <f>SUM('Table 3.24-CIOSS Detail'!F9,'Table 3.24-CIOSS Detail'!F24)</f>
        <v>96.63845222309682</v>
      </c>
      <c r="E9" s="83">
        <f>IF(ISERROR(D9/C9),"n/a",D9/C9)</f>
        <v>0.02277260068166859</v>
      </c>
      <c r="G9" s="29">
        <v>2.6423191141485964</v>
      </c>
      <c r="I9" s="42">
        <f>D9*G9</f>
        <v>255.34962947082465</v>
      </c>
      <c r="J9" s="83">
        <f>IF(ISERROR(I9/C9),"n/a",I9/C9)</f>
        <v>0.060172478060046275</v>
      </c>
    </row>
    <row r="10" spans="2:10" ht="12.75">
      <c r="B10" t="s">
        <v>279</v>
      </c>
      <c r="C10" s="6">
        <f>SUM('Table 3.24-CIOSS Detail'!E10,'Table 3.24-CIOSS Detail'!E25)</f>
        <v>112044.5816655568</v>
      </c>
      <c r="D10" s="42">
        <f>SUM('Table 3.24-CIOSS Detail'!F10,'Table 3.24-CIOSS Detail'!F25)</f>
        <v>2551.5465168143314</v>
      </c>
      <c r="E10" s="83">
        <f>IF(ISERROR(D10/C10),"n/a",D10/C10)</f>
        <v>0.022772600681668594</v>
      </c>
      <c r="G10" s="29">
        <v>2.6423191141485964</v>
      </c>
      <c r="I10" s="42">
        <f>D10*G10</f>
        <v>6742.000132017781</v>
      </c>
      <c r="J10" s="83">
        <f>IF(ISERROR(I10/C10),"n/a",I10/C10)</f>
        <v>0.06017247806004628</v>
      </c>
    </row>
    <row r="11" spans="3:4" ht="12.75">
      <c r="C11" s="6"/>
      <c r="D11" s="42"/>
    </row>
    <row r="12" spans="1:10" ht="12.75">
      <c r="A12" s="12" t="s">
        <v>4</v>
      </c>
      <c r="B12" s="12" t="s">
        <v>373</v>
      </c>
      <c r="C12" s="6">
        <f>SUM('Table 3.24-CIOSS Detail'!E15,'Table 3.24-CIOSS Detail'!E30,'Table 3.24-CIOSS Detail'!E36)</f>
        <v>86131.60693348089</v>
      </c>
      <c r="D12" s="42">
        <f>SUM('Table 3.24-CIOSS Detail'!F15,'Table 3.24-CIOSS Detail'!F30,'Table 3.24-CIOSS Detail'!F36)</f>
        <v>1067.0020020108589</v>
      </c>
      <c r="E12" s="83">
        <f>IF(ISERROR(D12/C12),"n/a",D12/C12)</f>
        <v>0.012388042438763514</v>
      </c>
      <c r="G12" s="29">
        <v>2.6423191141485964</v>
      </c>
      <c r="I12" s="42">
        <f>D12*G12</f>
        <v>2819.3597847481115</v>
      </c>
      <c r="J12" s="83">
        <f>IF(ISERROR(I12/C12),"n/a",I12/C12)</f>
        <v>0.03273316132282882</v>
      </c>
    </row>
    <row r="13" spans="1:10" ht="12.75">
      <c r="A13" s="283"/>
      <c r="B13" s="325" t="s">
        <v>279</v>
      </c>
      <c r="C13" s="10">
        <f>SUM('Table 3.24-CIOSS Detail'!E16,'Table 3.24-CIOSS Detail'!E31,'Table 3.24-CIOSS Detail'!E37)</f>
        <v>313544.14186174155</v>
      </c>
      <c r="D13" s="174">
        <f>SUM('Table 3.24-CIOSS Detail'!F16,'Table 3.24-CIOSS Detail'!F31,'Table 3.24-CIOSS Detail'!F37)</f>
        <v>3977.6537162261598</v>
      </c>
      <c r="E13" s="172">
        <f>IF(ISERROR(D13/C13),"n/a",D13/C13)</f>
        <v>0.012686104395406376</v>
      </c>
      <c r="F13" s="283"/>
      <c r="G13" s="446">
        <v>2.6423191141485964</v>
      </c>
      <c r="H13" s="283"/>
      <c r="I13" s="174">
        <f>D13*G13</f>
        <v>10510.230443848579</v>
      </c>
      <c r="J13" s="172">
        <f>IF(ISERROR(I13/C13),"n/a",I13/C13)</f>
        <v>0.03352073612806679</v>
      </c>
    </row>
    <row r="14" spans="2:10" ht="12.75">
      <c r="B14" s="14" t="s">
        <v>102</v>
      </c>
      <c r="C14" s="6">
        <f>SUM(C4:C13)</f>
        <v>2990712.1920000003</v>
      </c>
      <c r="D14" s="42">
        <f>SUM(D4:D13)</f>
        <v>34335.9185346141</v>
      </c>
      <c r="E14" s="83">
        <f>IF(ISERROR(D14/C14),"n/a",D14/C14)</f>
        <v>0.011480850155511754</v>
      </c>
      <c r="I14" s="42">
        <f>SUM(I4:I13)</f>
        <v>90726.45384585991</v>
      </c>
      <c r="J14" s="83">
        <f>IF(ISERROR(I14/C14),"n/a",I14/C14)</f>
        <v>0.030336069812584597</v>
      </c>
    </row>
    <row r="15" spans="2:10" ht="12.75" hidden="1">
      <c r="B15" s="14"/>
      <c r="C15" s="6"/>
      <c r="D15" s="42"/>
      <c r="E15" s="83"/>
      <c r="I15" s="42"/>
      <c r="J15" s="83"/>
    </row>
    <row r="16" spans="2:10" ht="12.75" hidden="1">
      <c r="B16" s="14" t="s">
        <v>191</v>
      </c>
      <c r="C16" s="143">
        <f>C14-'Table 3.24-CIOSS Detail'!E40</f>
        <v>0</v>
      </c>
      <c r="D16" s="143">
        <f>D14-'Table 3.24-CIOSS Detail'!F40</f>
        <v>0</v>
      </c>
      <c r="E16" s="83"/>
      <c r="H16" s="14" t="s">
        <v>191</v>
      </c>
      <c r="I16" s="143">
        <f>I14-'Table 3.24-CIOSS Detail'!K40</f>
        <v>0</v>
      </c>
      <c r="J16" s="143">
        <f>J14-'Table 3.24-CIOSS Detail'!L40</f>
        <v>0</v>
      </c>
    </row>
    <row r="17" spans="1:10" ht="12.75">
      <c r="A17" s="283"/>
      <c r="B17" s="293"/>
      <c r="C17" s="6"/>
      <c r="D17" s="42"/>
      <c r="E17" s="83"/>
      <c r="I17" s="42"/>
      <c r="J17" s="83"/>
    </row>
    <row r="18" spans="1:3" ht="12.75">
      <c r="A18" s="11" t="s">
        <v>235</v>
      </c>
      <c r="B18" s="64"/>
      <c r="C18" s="64"/>
    </row>
    <row r="19" spans="1:3" ht="12.75">
      <c r="A19" s="25" t="s">
        <v>654</v>
      </c>
      <c r="B19" s="64"/>
      <c r="C19" s="64"/>
    </row>
    <row r="20" ht="12.75">
      <c r="A20" s="25" t="s">
        <v>795</v>
      </c>
    </row>
    <row r="21" ht="12.75">
      <c r="A21" s="12" t="s">
        <v>21</v>
      </c>
    </row>
    <row r="22" ht="12.75">
      <c r="A22" s="12" t="s">
        <v>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sheetPr codeName="Sheet22">
    <pageSetUpPr fitToPage="1"/>
  </sheetPr>
  <dimension ref="A1:M5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5.85156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
      <c r="A1" s="158" t="s">
        <v>563</v>
      </c>
      <c r="B1" s="158"/>
      <c r="C1" s="158"/>
      <c r="D1" s="158"/>
    </row>
    <row r="2" spans="1:4" ht="15">
      <c r="A2" s="158" t="s">
        <v>787</v>
      </c>
      <c r="B2" s="443"/>
      <c r="C2" s="443"/>
      <c r="D2" s="443"/>
    </row>
    <row r="3" spans="1:13" ht="25.5">
      <c r="A3" s="444" t="s">
        <v>396</v>
      </c>
      <c r="B3" s="445" t="s">
        <v>399</v>
      </c>
      <c r="C3" s="444" t="s">
        <v>397</v>
      </c>
      <c r="D3" s="444" t="s">
        <v>348</v>
      </c>
      <c r="E3" s="168" t="s">
        <v>402</v>
      </c>
      <c r="F3" s="189" t="s">
        <v>403</v>
      </c>
      <c r="G3" s="8" t="s">
        <v>104</v>
      </c>
      <c r="H3" s="8"/>
      <c r="I3" s="199" t="s">
        <v>404</v>
      </c>
      <c r="J3" s="87"/>
      <c r="K3" s="160" t="s">
        <v>218</v>
      </c>
      <c r="L3" s="41" t="s">
        <v>133</v>
      </c>
      <c r="M3" s="11"/>
    </row>
    <row r="4" spans="1:12" ht="12.75">
      <c r="A4" s="25" t="s">
        <v>410</v>
      </c>
      <c r="B4" t="s">
        <v>407</v>
      </c>
      <c r="C4" t="s">
        <v>398</v>
      </c>
      <c r="D4" t="s">
        <v>278</v>
      </c>
      <c r="E4" s="6">
        <v>525756.3083494686</v>
      </c>
      <c r="F4" s="42">
        <v>12276.111103098237</v>
      </c>
      <c r="G4" s="83">
        <f>IF(ISERROR(F4/E4),"n/a",F4/E4)</f>
        <v>0.023349431872034417</v>
      </c>
      <c r="I4" s="29">
        <v>2.6423191141485964</v>
      </c>
      <c r="K4" s="42">
        <f>F4*I4</f>
        <v>32437.403015128282</v>
      </c>
      <c r="L4" s="83">
        <f>IF(ISERROR(K4/E4),"n/a",K4/E4)</f>
        <v>0.06169665013998698</v>
      </c>
    </row>
    <row r="5" spans="4:12" ht="12.75">
      <c r="D5" t="s">
        <v>373</v>
      </c>
      <c r="E5" s="6">
        <v>201372.17818639072</v>
      </c>
      <c r="F5" s="42">
        <v>4701.925955486305</v>
      </c>
      <c r="G5" s="83">
        <f>IF(ISERROR(F5/E5),"n/a",F5/E5)</f>
        <v>0.023349431872034414</v>
      </c>
      <c r="I5" s="29">
        <v>2.6423191141485964</v>
      </c>
      <c r="K5" s="42">
        <f>F5*I5</f>
        <v>12423.988825492865</v>
      </c>
      <c r="L5" s="83">
        <f>IF(ISERROR(K5/E5),"n/a",K5/E5)</f>
        <v>0.06169665013998697</v>
      </c>
    </row>
    <row r="6" spans="4:12" ht="12.75">
      <c r="D6" t="s">
        <v>279</v>
      </c>
      <c r="E6" s="6">
        <v>12283.26782267538</v>
      </c>
      <c r="F6" s="42">
        <v>286.8073251915113</v>
      </c>
      <c r="G6" s="83">
        <f>IF(ISERROR(F6/E6),"n/a",F6/E6)</f>
        <v>0.023349431872034417</v>
      </c>
      <c r="I6" s="29">
        <v>2.6423191141485964</v>
      </c>
      <c r="K6" s="42">
        <f>F6*I6</f>
        <v>757.8364774313626</v>
      </c>
      <c r="L6" s="83">
        <f>IF(ISERROR(K6/E6),"n/a",K6/E6)</f>
        <v>0.061696650139986986</v>
      </c>
    </row>
    <row r="7" spans="5:6" ht="12.75">
      <c r="E7" s="6"/>
      <c r="F7" s="6"/>
    </row>
    <row r="8" spans="2:12" ht="12.75">
      <c r="B8" s="12" t="s">
        <v>476</v>
      </c>
      <c r="C8" t="s">
        <v>398</v>
      </c>
      <c r="D8" t="s">
        <v>278</v>
      </c>
      <c r="E8" s="6">
        <v>107969.83025053145</v>
      </c>
      <c r="F8" s="42">
        <v>2521.0341956699053</v>
      </c>
      <c r="G8" s="83">
        <f>IF(ISERROR(F8/E8),"n/a",F8/E8)</f>
        <v>0.02334943187203442</v>
      </c>
      <c r="I8" s="29">
        <v>2.6423191141485964</v>
      </c>
      <c r="K8" s="42">
        <f>F8*I8</f>
        <v>6661.376842640823</v>
      </c>
      <c r="L8" s="83">
        <f>IF(ISERROR(K8/E8),"n/a",K8/E8)</f>
        <v>0.06169665013998699</v>
      </c>
    </row>
    <row r="9" spans="4:12" ht="12.75">
      <c r="D9" t="s">
        <v>373</v>
      </c>
      <c r="E9" s="6">
        <v>3819.2654504673965</v>
      </c>
      <c r="F9" s="42">
        <v>89.17767843690332</v>
      </c>
      <c r="G9" s="83">
        <f>IF(ISERROR(F9/E9),"n/a",F9/E9)</f>
        <v>0.02334943187203442</v>
      </c>
      <c r="I9" s="29">
        <v>2.6423191141485964</v>
      </c>
      <c r="K9" s="42">
        <f>F9*I9</f>
        <v>235.63588428922677</v>
      </c>
      <c r="L9" s="83">
        <f>IF(ISERROR(K9/E9),"n/a",K9/E9)</f>
        <v>0.061696650139986986</v>
      </c>
    </row>
    <row r="10" spans="4:12" ht="12.75">
      <c r="D10" t="s">
        <v>279</v>
      </c>
      <c r="E10" s="6">
        <v>100840.12349900113</v>
      </c>
      <c r="F10" s="42">
        <v>2354.5595936074637</v>
      </c>
      <c r="G10" s="83">
        <f>IF(ISERROR(F10/E10),"n/a",F10/E10)</f>
        <v>0.023349431872034417</v>
      </c>
      <c r="I10" s="29">
        <v>2.6423191141485964</v>
      </c>
      <c r="K10" s="42">
        <f>F10*I10</f>
        <v>6221.4978195909525</v>
      </c>
      <c r="L10" s="83">
        <f>IF(ISERROR(K10/E10),"n/a",K10/E10)</f>
        <v>0.06169665013998698</v>
      </c>
    </row>
    <row r="11" spans="5:6" ht="12.75">
      <c r="E11" s="6"/>
      <c r="F11" s="27"/>
    </row>
    <row r="12" spans="2:12" ht="12.75">
      <c r="B12" t="s">
        <v>407</v>
      </c>
      <c r="C12" s="12" t="s">
        <v>6</v>
      </c>
      <c r="D12" t="s">
        <v>373</v>
      </c>
      <c r="E12" s="6">
        <v>21809.752596610837</v>
      </c>
      <c r="F12" s="42">
        <v>509.24533240049055</v>
      </c>
      <c r="G12" s="83">
        <f>IF(ISERROR(F12/E12),"n/a",F12/E12)</f>
        <v>0.02334943187203442</v>
      </c>
      <c r="I12" s="29">
        <v>2.6423191141485964</v>
      </c>
      <c r="K12" s="42">
        <f>F12*I12</f>
        <v>1345.5886755927718</v>
      </c>
      <c r="L12" s="83">
        <f>IF(ISERROR(K12/E12),"n/a",K12/E12)</f>
        <v>0.061696650139987</v>
      </c>
    </row>
    <row r="13" spans="3:12" ht="12.75">
      <c r="C13" s="12" t="s">
        <v>655</v>
      </c>
      <c r="D13" t="s">
        <v>279</v>
      </c>
      <c r="E13" s="6">
        <v>621685.7261141733</v>
      </c>
      <c r="F13" s="42">
        <v>14516.008507719138</v>
      </c>
      <c r="G13" s="83">
        <f>IF(ISERROR(F13/E13),"n/a",F13/E13)</f>
        <v>0.023349431872034417</v>
      </c>
      <c r="I13" s="29">
        <v>2.6423191141485964</v>
      </c>
      <c r="K13" s="42">
        <f>F13*I13</f>
        <v>38355.92674108992</v>
      </c>
      <c r="L13" s="83">
        <f>IF(ISERROR(K13/E13),"n/a",K13/E13)</f>
        <v>0.061696650139986986</v>
      </c>
    </row>
    <row r="14" ht="12.75">
      <c r="E14" s="6"/>
    </row>
    <row r="15" spans="2:12" ht="12.75">
      <c r="B15" t="s">
        <v>400</v>
      </c>
      <c r="C15" s="12" t="s">
        <v>6</v>
      </c>
      <c r="D15" t="s">
        <v>373</v>
      </c>
      <c r="E15" s="6">
        <v>3466.5920378705964</v>
      </c>
      <c r="F15" s="42">
        <v>80.94295461639645</v>
      </c>
      <c r="G15" s="83">
        <f>IF(ISERROR(F15/E15),"n/a",F15/E15)</f>
        <v>0.023349431872034417</v>
      </c>
      <c r="I15" s="29">
        <v>2.6423191141485964</v>
      </c>
      <c r="K15" s="42">
        <f>F15*I15</f>
        <v>213.87711613856672</v>
      </c>
      <c r="L15" s="83">
        <f>IF(ISERROR(K15/E15),"n/a",K15/E15)</f>
        <v>0.06169665013998699</v>
      </c>
    </row>
    <row r="16" spans="2:12" ht="12.75">
      <c r="B16" s="283"/>
      <c r="C16" s="325" t="s">
        <v>6</v>
      </c>
      <c r="D16" s="283" t="s">
        <v>279</v>
      </c>
      <c r="E16" s="10">
        <v>20356.725674268077</v>
      </c>
      <c r="F16" s="174">
        <v>475.3179792690164</v>
      </c>
      <c r="G16" s="172">
        <f>IF(ISERROR(F16/E16),"n/a",F16/E16)</f>
        <v>0.02334943187203442</v>
      </c>
      <c r="H16" s="283"/>
      <c r="I16" s="446">
        <v>2.6423191141485964</v>
      </c>
      <c r="J16" s="283"/>
      <c r="K16" s="174">
        <f>F16*I16</f>
        <v>1255.9417819210084</v>
      </c>
      <c r="L16" s="172">
        <f>IF(ISERROR(K16/E16),"n/a",K16/E16)</f>
        <v>0.061696650139987</v>
      </c>
    </row>
    <row r="17" spans="4:12" ht="12.75">
      <c r="D17" s="447" t="s">
        <v>406</v>
      </c>
      <c r="E17" s="6">
        <f>SUM(E4:E16)</f>
        <v>1619359.7699814574</v>
      </c>
      <c r="F17" s="42">
        <f>SUM(F4:F16)</f>
        <v>37811.13062549536</v>
      </c>
      <c r="G17" s="83">
        <f>IF(ISERROR(F17/E17),"n/a",F17/E17)</f>
        <v>0.023349431872034414</v>
      </c>
      <c r="K17" s="42">
        <f>SUM(K4:K16)</f>
        <v>99909.07317931578</v>
      </c>
      <c r="L17" s="83">
        <f>IF(ISERROR(K17/E17),"n/a",K17/E17)</f>
        <v>0.061696650139986986</v>
      </c>
    </row>
    <row r="19" spans="1:12" ht="12.75">
      <c r="A19" s="25" t="s">
        <v>411</v>
      </c>
      <c r="B19" t="s">
        <v>407</v>
      </c>
      <c r="C19" t="s">
        <v>398</v>
      </c>
      <c r="D19" t="s">
        <v>278</v>
      </c>
      <c r="E19" s="6">
        <v>58417.36759438539</v>
      </c>
      <c r="F19" s="42">
        <v>1027.04274791362</v>
      </c>
      <c r="G19" s="83">
        <f>IF(ISERROR(F19/E19),"n/a",F19/E19)</f>
        <v>0.01758111996837617</v>
      </c>
      <c r="I19" s="29">
        <v>2.6423191141485964</v>
      </c>
      <c r="K19" s="42">
        <f>F19*I19</f>
        <v>2713.7746838598564</v>
      </c>
      <c r="L19" s="83">
        <f>IF(ISERROR(K19/E19),"n/a",K19/E19)</f>
        <v>0.04645492934057992</v>
      </c>
    </row>
    <row r="20" spans="4:12" ht="12.75">
      <c r="D20" t="s">
        <v>373</v>
      </c>
      <c r="E20" s="6">
        <v>22374.686465154522</v>
      </c>
      <c r="F20" s="42">
        <v>393.3720469986842</v>
      </c>
      <c r="G20" s="83">
        <f>IF(ISERROR(F20/E20),"n/a",F20/E20)</f>
        <v>0.01758111996837617</v>
      </c>
      <c r="I20" s="29">
        <v>2.6423191141485964</v>
      </c>
      <c r="K20" s="42">
        <f>F20*I20</f>
        <v>1039.4144787563832</v>
      </c>
      <c r="L20" s="83">
        <f>IF(ISERROR(K20/E20),"n/a",K20/E20)</f>
        <v>0.04645492934057992</v>
      </c>
    </row>
    <row r="21" spans="4:12" ht="12.75">
      <c r="D21" t="s">
        <v>279</v>
      </c>
      <c r="E21" s="6">
        <v>1364.8075358528192</v>
      </c>
      <c r="F21" s="42">
        <v>23.994845021572278</v>
      </c>
      <c r="G21" s="83">
        <f>IF(ISERROR(F21/E21),"n/a",F21/E21)</f>
        <v>0.01758111996837617</v>
      </c>
      <c r="I21" s="29">
        <v>2.6423191141485964</v>
      </c>
      <c r="K21" s="42">
        <f>F21*I21</f>
        <v>63.402037641533724</v>
      </c>
      <c r="L21" s="83">
        <f>IF(ISERROR(K21/E21),"n/a",K21/E21)</f>
        <v>0.04645492934057993</v>
      </c>
    </row>
    <row r="22" spans="5:6" ht="12.75">
      <c r="E22" s="6"/>
      <c r="F22" s="6"/>
    </row>
    <row r="23" spans="2:12" ht="12.75">
      <c r="B23" s="12" t="s">
        <v>476</v>
      </c>
      <c r="C23" t="s">
        <v>398</v>
      </c>
      <c r="D23" t="s">
        <v>278</v>
      </c>
      <c r="E23" s="6">
        <v>11996.647805614602</v>
      </c>
      <c r="F23" s="42">
        <v>210.91450428886705</v>
      </c>
      <c r="G23" s="83">
        <f>IF(ISERROR(F23/E23),"n/a",F23/E23)</f>
        <v>0.01758111996837617</v>
      </c>
      <c r="I23" s="29">
        <v>2.6423191141485964</v>
      </c>
      <c r="K23" s="42">
        <f>F23*I23</f>
        <v>557.3034261336495</v>
      </c>
      <c r="L23" s="83">
        <f>IF(ISERROR(K23/E23),"n/a",K23/E23)</f>
        <v>0.04645492934057992</v>
      </c>
    </row>
    <row r="24" spans="4:12" ht="12.75">
      <c r="D24" t="s">
        <v>373</v>
      </c>
      <c r="E24" s="6">
        <v>424.3628278297106</v>
      </c>
      <c r="F24" s="42">
        <v>7.460773786193504</v>
      </c>
      <c r="G24" s="83">
        <f>IF(ISERROR(F24/E24),"n/a",F24/E24)</f>
        <v>0.01758111996837617</v>
      </c>
      <c r="I24" s="29">
        <v>2.6423191141485964</v>
      </c>
      <c r="K24" s="42">
        <f>F24*I24</f>
        <v>19.71374518159789</v>
      </c>
      <c r="L24" s="83">
        <f>IF(ISERROR(K24/E24),"n/a",K24/E24)</f>
        <v>0.046454929340579924</v>
      </c>
    </row>
    <row r="25" spans="4:12" ht="12.75">
      <c r="D25" t="s">
        <v>279</v>
      </c>
      <c r="E25" s="6">
        <v>11204.458166555682</v>
      </c>
      <c r="F25" s="42">
        <v>196.98692320686757</v>
      </c>
      <c r="G25" s="83">
        <f>IF(ISERROR(F25/E25),"n/a",F25/E25)</f>
        <v>0.017581119968376174</v>
      </c>
      <c r="I25" s="29">
        <v>2.6423191141485964</v>
      </c>
      <c r="K25" s="42">
        <f>F25*I25</f>
        <v>520.5023124268279</v>
      </c>
      <c r="L25" s="83">
        <f>IF(ISERROR(K25/E25),"n/a",K25/E25)</f>
        <v>0.046454929340579924</v>
      </c>
    </row>
    <row r="26" spans="5:6" ht="12.75">
      <c r="E26" s="6"/>
      <c r="F26" s="27"/>
    </row>
    <row r="27" spans="2:12" ht="12.75">
      <c r="B27" t="s">
        <v>407</v>
      </c>
      <c r="C27" s="12" t="s">
        <v>6</v>
      </c>
      <c r="D27" s="12" t="s">
        <v>433</v>
      </c>
      <c r="E27" s="6">
        <v>2423.3058440678697</v>
      </c>
      <c r="F27" s="42">
        <v>-13.030757469401054</v>
      </c>
      <c r="G27" s="83">
        <f>IF(ISERROR(F27/E27),"n/a",F27/E27)</f>
        <v>-0.005377264905005569</v>
      </c>
      <c r="I27" s="29">
        <v>2.6423191141485964</v>
      </c>
      <c r="K27" s="42">
        <f>F27*I27</f>
        <v>-34.431419533233</v>
      </c>
      <c r="L27" s="83">
        <f>IF(ISERROR(K27/E27),"n/a",K27/E27)</f>
        <v>-0.014208449840336652</v>
      </c>
    </row>
    <row r="28" spans="3:12" ht="12.75">
      <c r="C28" s="12" t="s">
        <v>655</v>
      </c>
      <c r="D28" t="s">
        <v>279</v>
      </c>
      <c r="E28" s="6">
        <v>0</v>
      </c>
      <c r="F28" s="42">
        <v>0</v>
      </c>
      <c r="G28" s="83" t="str">
        <f>IF(ISERROR(F28/E28),"n/a",F28/E28)</f>
        <v>n/a</v>
      </c>
      <c r="I28" s="29">
        <v>2.6423191141485964</v>
      </c>
      <c r="K28" s="42">
        <f>F28*I28</f>
        <v>0</v>
      </c>
      <c r="L28" s="83" t="str">
        <f>IF(ISERROR(K28/E28),"n/a",K28/E28)</f>
        <v>n/a</v>
      </c>
    </row>
    <row r="29" ht="12.75">
      <c r="E29" s="6"/>
    </row>
    <row r="30" spans="2:12" ht="12.75">
      <c r="B30" t="s">
        <v>400</v>
      </c>
      <c r="C30" s="12" t="s">
        <v>6</v>
      </c>
      <c r="D30" t="s">
        <v>373</v>
      </c>
      <c r="E30" s="6">
        <v>385.1768930967328</v>
      </c>
      <c r="F30" s="42">
        <v>6.771841166580063</v>
      </c>
      <c r="G30" s="83">
        <f>IF(ISERROR(F30/E30),"n/a",F30/E30)</f>
        <v>0.017581119968376174</v>
      </c>
      <c r="I30" s="29">
        <v>2.6423191141485964</v>
      </c>
      <c r="K30" s="42">
        <f>F30*I30</f>
        <v>17.89336535243283</v>
      </c>
      <c r="L30" s="83">
        <f>IF(ISERROR(K30/E30),"n/a",K30/E30)</f>
        <v>0.04645492934057993</v>
      </c>
    </row>
    <row r="31" spans="2:12" ht="12.75">
      <c r="B31" s="283"/>
      <c r="C31" s="325" t="s">
        <v>6</v>
      </c>
      <c r="D31" s="283" t="s">
        <v>279</v>
      </c>
      <c r="E31" s="10">
        <v>2261.858408252008</v>
      </c>
      <c r="F31" s="174">
        <v>39.76600402695892</v>
      </c>
      <c r="G31" s="172">
        <f>IF(ISERROR(F31/E31),"n/a",F31/E31)</f>
        <v>0.01758111996837617</v>
      </c>
      <c r="H31" s="283"/>
      <c r="I31" s="446">
        <v>2.6423191141485964</v>
      </c>
      <c r="J31" s="283"/>
      <c r="K31" s="174">
        <f>F31*I31</f>
        <v>105.0744725337436</v>
      </c>
      <c r="L31" s="172">
        <f>IF(ISERROR(K31/E31),"n/a",K31/E31)</f>
        <v>0.046454929340579924</v>
      </c>
    </row>
    <row r="32" spans="4:12" ht="12.75">
      <c r="D32" s="447" t="s">
        <v>405</v>
      </c>
      <c r="E32" s="6">
        <f>SUM(E19:E31)</f>
        <v>110852.67154080933</v>
      </c>
      <c r="F32" s="42">
        <f>SUM(F19:F31)</f>
        <v>1893.2789289399425</v>
      </c>
      <c r="G32" s="83">
        <f>IF(ISERROR(F32/E32),"n/a",F32/E32)</f>
        <v>0.0170792359139757</v>
      </c>
      <c r="K32" s="42">
        <f>SUM(K19:K31)</f>
        <v>5002.647102352793</v>
      </c>
      <c r="L32" s="83">
        <f>IF(ISERROR(K32/E32),"n/a",K32/E32)</f>
        <v>0.045128791510551165</v>
      </c>
    </row>
    <row r="34" spans="1:12" ht="12.75">
      <c r="A34" s="25" t="s">
        <v>412</v>
      </c>
      <c r="B34" t="s">
        <v>407</v>
      </c>
      <c r="C34" s="12" t="s">
        <v>409</v>
      </c>
      <c r="D34" s="12" t="s">
        <v>433</v>
      </c>
      <c r="E34" s="6">
        <v>887294.3546959986</v>
      </c>
      <c r="F34" s="42">
        <v>-9810.347958979277</v>
      </c>
      <c r="G34" s="83">
        <f>IF(ISERROR(F34/E34),"n/a",F34/E34)</f>
        <v>-0.011056475122441707</v>
      </c>
      <c r="I34" s="29">
        <v>2.6423191141485964</v>
      </c>
      <c r="K34" s="42">
        <f>F34*I34</f>
        <v>-25922.069928459616</v>
      </c>
      <c r="L34" s="83">
        <f>IF(ISERROR(K34/E34),"n/a",K34/E34)</f>
        <v>-0.02921473555113617</v>
      </c>
    </row>
    <row r="35" spans="5:6" ht="12.75">
      <c r="E35" s="6"/>
      <c r="F35" s="42"/>
    </row>
    <row r="36" spans="2:12" ht="12.75">
      <c r="B36" t="s">
        <v>400</v>
      </c>
      <c r="C36" t="s">
        <v>409</v>
      </c>
      <c r="D36" t="s">
        <v>373</v>
      </c>
      <c r="E36" s="6">
        <v>82279.83800251356</v>
      </c>
      <c r="F36" s="42">
        <v>979.2872062278824</v>
      </c>
      <c r="G36" s="83">
        <f>IF(ISERROR(F36/E36),"n/a",F36/E36)</f>
        <v>0.011901909750940033</v>
      </c>
      <c r="I36" s="29">
        <v>2.6423191141485964</v>
      </c>
      <c r="K36" s="42">
        <f>F36*I36</f>
        <v>2587.589303257112</v>
      </c>
      <c r="L36" s="83">
        <f>IF(ISERROR(K36/E36),"n/a",K36/E36)</f>
        <v>0.031448643629780414</v>
      </c>
    </row>
    <row r="37" spans="2:12" ht="12.75">
      <c r="B37" s="283"/>
      <c r="C37" s="283"/>
      <c r="D37" s="283" t="s">
        <v>279</v>
      </c>
      <c r="E37" s="10">
        <v>290925.55777922145</v>
      </c>
      <c r="F37" s="174">
        <v>3462.5697329301843</v>
      </c>
      <c r="G37" s="172">
        <f>IF(ISERROR(F37/E37),"n/a",F37/E37)</f>
        <v>0.011901909750940035</v>
      </c>
      <c r="H37" s="283"/>
      <c r="I37" s="446">
        <v>2.6423191141485964</v>
      </c>
      <c r="J37" s="283"/>
      <c r="K37" s="174">
        <f>F37*I37</f>
        <v>9149.214189393826</v>
      </c>
      <c r="L37" s="172">
        <f>IF(ISERROR(K37/E37),"n/a",K37/E37)</f>
        <v>0.031448643629780414</v>
      </c>
    </row>
    <row r="38" spans="4:12" ht="12.75">
      <c r="D38" s="447" t="s">
        <v>413</v>
      </c>
      <c r="E38" s="6">
        <f>SUM(E34:E37)</f>
        <v>1260499.7504777336</v>
      </c>
      <c r="F38" s="42">
        <f>SUM(F34:F37)</f>
        <v>-5368.491019821211</v>
      </c>
      <c r="G38" s="83">
        <f>IF(ISERROR(F38/E38),"n/a",F38/E38)</f>
        <v>-0.004259017915542256</v>
      </c>
      <c r="K38" s="42">
        <f>SUM(K34:K37)</f>
        <v>-14185.266435808679</v>
      </c>
      <c r="L38" s="83">
        <f>IF(ISERROR(K38/E38),"n/a",K38/E38)</f>
        <v>-0.011253684445738618</v>
      </c>
    </row>
    <row r="39" spans="4:12" ht="12.75">
      <c r="D39" s="447"/>
      <c r="E39" s="6"/>
      <c r="F39" s="42"/>
      <c r="G39" s="83"/>
      <c r="K39" s="42"/>
      <c r="L39" s="83"/>
    </row>
    <row r="40" spans="4:12" ht="12.75">
      <c r="D40" s="14" t="s">
        <v>269</v>
      </c>
      <c r="E40" s="6">
        <f>SUM(E17,E32,E38)</f>
        <v>2990712.1920000003</v>
      </c>
      <c r="F40" s="42">
        <f>SUM(F17,F32,F38)</f>
        <v>34335.918534614095</v>
      </c>
      <c r="G40" s="83">
        <f>IF(ISERROR(F40/E40),"n/a",F40/E40)</f>
        <v>0.011480850155511752</v>
      </c>
      <c r="K40" s="42">
        <f>SUM(K17,K32,K38)</f>
        <v>90726.4538458599</v>
      </c>
      <c r="L40" s="83">
        <f>IF(ISERROR(K40/E40),"n/a",K40/E40)</f>
        <v>0.03033606981258459</v>
      </c>
    </row>
    <row r="41" ht="12.75" hidden="1"/>
    <row r="42" spans="3:6" ht="12.75" hidden="1">
      <c r="C42" s="64"/>
      <c r="D42" s="348" t="s">
        <v>191</v>
      </c>
      <c r="E42" s="143">
        <v>0</v>
      </c>
      <c r="F42" s="143">
        <v>0</v>
      </c>
    </row>
    <row r="43" spans="5:6" ht="12.75" hidden="1">
      <c r="E43" s="143">
        <v>0</v>
      </c>
      <c r="F43" s="143">
        <v>0</v>
      </c>
    </row>
    <row r="44" spans="5:6" ht="12.75" hidden="1">
      <c r="E44" s="143">
        <v>0</v>
      </c>
      <c r="F44" s="143">
        <v>0</v>
      </c>
    </row>
    <row r="45" spans="5:6" ht="12.75" hidden="1">
      <c r="E45" s="143">
        <v>0</v>
      </c>
      <c r="F45" s="143">
        <v>0</v>
      </c>
    </row>
    <row r="46" spans="1:5" ht="12.75">
      <c r="A46" s="141"/>
      <c r="B46" s="283"/>
      <c r="C46" s="293"/>
      <c r="D46" s="293"/>
      <c r="E46" s="293"/>
    </row>
    <row r="47" ht="12.75">
      <c r="A47" s="11" t="s">
        <v>235</v>
      </c>
    </row>
    <row r="48" ht="12.75">
      <c r="A48" s="24" t="s">
        <v>401</v>
      </c>
    </row>
    <row r="49" ht="12.75">
      <c r="A49" s="12" t="s">
        <v>477</v>
      </c>
    </row>
    <row r="50" ht="12.75">
      <c r="A50" s="25" t="s">
        <v>809</v>
      </c>
    </row>
    <row r="51" ht="12.75">
      <c r="A51" s="25" t="s">
        <v>808</v>
      </c>
    </row>
    <row r="52" ht="12.75">
      <c r="A52" s="24" t="s">
        <v>414</v>
      </c>
    </row>
    <row r="53" ht="12.75">
      <c r="A53" s="25" t="s">
        <v>7</v>
      </c>
    </row>
    <row r="54" ht="12.75">
      <c r="A54" s="25" t="s">
        <v>656</v>
      </c>
    </row>
    <row r="55" ht="12.75">
      <c r="A55" s="25" t="s">
        <v>8</v>
      </c>
    </row>
    <row r="56" ht="12.75">
      <c r="A56" s="25" t="s">
        <v>657</v>
      </c>
    </row>
    <row r="57" ht="12.75">
      <c r="A57" s="12" t="s">
        <v>26</v>
      </c>
    </row>
  </sheetData>
  <sheetProtection/>
  <printOptions horizontalCentered="1"/>
  <pageMargins left="0.75" right="0.75" top="1" bottom="1" header="0.5" footer="0.5"/>
  <pageSetup fitToHeight="1" fitToWidth="1" horizontalDpi="600" verticalDpi="600" orientation="landscape" scale="70"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sheetPr codeName="Sheet23">
    <pageSetUpPr fitToPage="1"/>
  </sheetPr>
  <dimension ref="A1:O27"/>
  <sheetViews>
    <sheetView zoomScale="70" zoomScaleNormal="70" zoomScalePageLayoutView="0" workbookViewId="0" topLeftCell="A1">
      <selection activeCell="A1" sqref="A1"/>
    </sheetView>
  </sheetViews>
  <sheetFormatPr defaultColWidth="9.140625" defaultRowHeight="12.75"/>
  <cols>
    <col min="1" max="1" width="12.57421875" style="0" customWidth="1"/>
    <col min="2" max="2" width="15.8515625" style="0" customWidth="1"/>
    <col min="3" max="7" width="11.7109375" style="0" customWidth="1"/>
    <col min="8" max="8" width="3.7109375" style="0" customWidth="1"/>
    <col min="9" max="9" width="11.7109375" style="0" customWidth="1"/>
    <col min="10" max="10" width="3.7109375" style="0" customWidth="1"/>
    <col min="11" max="14" width="11.7109375" style="0" customWidth="1"/>
  </cols>
  <sheetData>
    <row r="1" spans="1:2" ht="15">
      <c r="A1" s="158" t="s">
        <v>14</v>
      </c>
      <c r="B1" s="158"/>
    </row>
    <row r="2" spans="1:2" ht="15">
      <c r="A2" s="158" t="s">
        <v>787</v>
      </c>
      <c r="B2" s="443"/>
    </row>
    <row r="3" spans="1:15" ht="38.25">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4" ht="12.75">
      <c r="A4" s="12" t="s">
        <v>2</v>
      </c>
      <c r="B4" t="s">
        <v>278</v>
      </c>
      <c r="C4" s="6">
        <f>SUM('Table 3.26-REC Detail NonACS'!E4,'Table 3.26-REC Detail NonACS'!E19)</f>
        <v>342413.40015448997</v>
      </c>
      <c r="D4" s="42">
        <f>SUM('Table 3.26-REC Detail NonACS'!F4,'Table 3.26-REC Detail NonACS'!F19)</f>
        <v>19416.403149122045</v>
      </c>
      <c r="E4" s="42">
        <f>SUM('Table 3.27-REC Detail ACS'!F4,'Table 3.27-REC Detail ACS'!F19)</f>
        <v>0</v>
      </c>
      <c r="F4" s="165">
        <f>SUM(D4:E4)</f>
        <v>19416.403149122045</v>
      </c>
      <c r="G4" s="83">
        <f>IF(ISERROR(F4/C4),"n/a",F4/C4)</f>
        <v>0.056704565710225585</v>
      </c>
      <c r="I4" s="29">
        <v>1.3504200021808366</v>
      </c>
      <c r="K4" s="42">
        <f>D4*I4</f>
        <v>26220.299182981395</v>
      </c>
      <c r="L4" s="42">
        <f>E4*I4</f>
        <v>0</v>
      </c>
      <c r="M4" s="42">
        <f>SUM(K4:L4)</f>
        <v>26220.299182981395</v>
      </c>
      <c r="N4" s="83">
        <f>IF(ISERROR(M4/C4),"n/a",M4/C4)</f>
        <v>0.07657497975006623</v>
      </c>
    </row>
    <row r="5" spans="2:14" ht="12.75">
      <c r="B5" s="12" t="s">
        <v>431</v>
      </c>
      <c r="C5" s="6">
        <f>SUM('Table 3.26-REC Detail NonACS'!E5,'Table 3.26-REC Detail NonACS'!E12,'Table 3.26-REC Detail NonACS'!E20,'Table 3.26-REC Detail NonACS'!E27,'Table 3.26-REC Detail NonACS'!E34)</f>
        <v>651111.2140972262</v>
      </c>
      <c r="D5" s="42">
        <f>SUM('Table 3.26-REC Detail NonACS'!F5,'Table 3.26-REC Detail NonACS'!F12,'Table 3.26-REC Detail NonACS'!F20,'Table 3.26-REC Detail NonACS'!F27,'Table 3.26-REC Detail NonACS'!F34)</f>
        <v>1139.0749313349797</v>
      </c>
      <c r="E5" s="42">
        <f>SUM('Table 3.27-REC Detail ACS'!F5,'Table 3.27-REC Detail ACS'!F12,'Table 3.27-REC Detail ACS'!F20,'Table 3.27-REC Detail ACS'!F27,'Table 3.27-REC Detail ACS'!F34)</f>
        <v>0</v>
      </c>
      <c r="F5" s="165">
        <f>SUM(D5:E5)</f>
        <v>1139.0749313349797</v>
      </c>
      <c r="G5" s="83">
        <f>IF(ISERROR(F5/C5),"n/a",F5/C5)</f>
        <v>0.0017494322116910878</v>
      </c>
      <c r="I5" s="29">
        <v>1.3504200021808366</v>
      </c>
      <c r="K5" s="42">
        <f>D5*I5</f>
        <v>1538.2295712575196</v>
      </c>
      <c r="L5" s="42">
        <f>E5*I5</f>
        <v>0</v>
      </c>
      <c r="M5" s="42">
        <f>SUM(K5:L5)</f>
        <v>1538.2295712575196</v>
      </c>
      <c r="N5" s="83">
        <f>IF(ISERROR(M5/C5),"n/a",M5/C5)</f>
        <v>0.0023624682511271047</v>
      </c>
    </row>
    <row r="6" spans="2:14" ht="12.75">
      <c r="B6" t="s">
        <v>279</v>
      </c>
      <c r="C6" s="6">
        <f>SUM('Table 3.26-REC Detail NonACS'!E6,'Table 3.26-REC Detail NonACS'!E13,'Table 3.26-REC Detail NonACS'!E21,'Table 3.26-REC Detail NonACS'!E28)</f>
        <v>362360.6832564801</v>
      </c>
      <c r="D6" s="42">
        <f>SUM('Table 3.26-REC Detail NonACS'!F6,'Table 3.26-REC Detail NonACS'!F13,'Table 3.26-REC Detail NonACS'!F21,'Table 3.26-REC Detail NonACS'!F28)</f>
        <v>20547.50517451932</v>
      </c>
      <c r="E6" s="42">
        <f>SUM('Table 3.27-REC Detail ACS'!F6,'Table 3.27-REC Detail ACS'!F13,'Table 3.27-REC Detail ACS'!F21,'Table 3.27-REC Detail ACS'!F28)</f>
        <v>0</v>
      </c>
      <c r="F6" s="165">
        <f>SUM(D6:E6)</f>
        <v>20547.50517451932</v>
      </c>
      <c r="G6" s="83">
        <f>IF(ISERROR(F6/C6),"n/a",F6/C6)</f>
        <v>0.0567045657102256</v>
      </c>
      <c r="I6" s="29">
        <v>1.3504200021808366</v>
      </c>
      <c r="K6" s="42">
        <f>D6*I6</f>
        <v>27747.76198258513</v>
      </c>
      <c r="L6" s="42">
        <f>E6*I6</f>
        <v>0</v>
      </c>
      <c r="M6" s="42">
        <f>SUM(K6:L6)</f>
        <v>27747.76198258513</v>
      </c>
      <c r="N6" s="83">
        <f>IF(ISERROR(M6/C6),"n/a",M6/C6)</f>
        <v>0.07657497975006623</v>
      </c>
    </row>
    <row r="7" spans="3:5" ht="12.75">
      <c r="C7" s="6"/>
      <c r="D7" s="42"/>
      <c r="E7" s="42"/>
    </row>
    <row r="8" spans="1:14" ht="12.75">
      <c r="A8" s="12" t="s">
        <v>3</v>
      </c>
      <c r="B8" t="s">
        <v>278</v>
      </c>
      <c r="C8" s="6">
        <f>SUM('Table 3.26-REC Detail NonACS'!E8,'Table 3.26-REC Detail NonACS'!E23)</f>
        <v>72909.02720623248</v>
      </c>
      <c r="D8" s="42">
        <f>SUM('Table 3.26-REC Detail NonACS'!F8,'Table 3.26-REC Detail NonACS'!F23)</f>
        <v>2067.1373620422173</v>
      </c>
      <c r="E8" s="42">
        <f>SUM('Table 3.27-REC Detail ACS'!F8,'Table 3.27-REC Detail ACS'!F23)</f>
        <v>3890.834995573244</v>
      </c>
      <c r="F8" s="165">
        <f>SUM(D8:E8)</f>
        <v>5957.972357615461</v>
      </c>
      <c r="G8" s="83">
        <f>IF(ISERROR(F8/C8),"n/a",F8/C8)</f>
        <v>0.08171789675320419</v>
      </c>
      <c r="I8" s="29">
        <v>1.3504200021808366</v>
      </c>
      <c r="K8" s="42">
        <f>D8*I8</f>
        <v>2791.50364095714</v>
      </c>
      <c r="L8" s="42">
        <f>E8*I8</f>
        <v>5254.261403207296</v>
      </c>
      <c r="M8" s="42">
        <f>SUM(K8:L8)</f>
        <v>8045.765044164436</v>
      </c>
      <c r="N8" s="83">
        <f>IF(ISERROR(M8/C8),"n/a",M8/C8)</f>
        <v>0.1103534823116754</v>
      </c>
    </row>
    <row r="9" spans="2:14" ht="12.75">
      <c r="B9" s="12" t="s">
        <v>373</v>
      </c>
      <c r="C9" s="6">
        <f>SUM('Table 3.26-REC Detail NonACS'!E9,'Table 3.26-REC Detail NonACS'!E24)</f>
        <v>2579.043867993675</v>
      </c>
      <c r="D9" s="42">
        <f>SUM('Table 3.26-REC Detail NonACS'!F9,'Table 3.26-REC Detail NonACS'!F24)</f>
        <v>73.12178124110088</v>
      </c>
      <c r="E9" s="42">
        <f>SUM('Table 3.27-REC Detail ACS'!F9,'Table 3.27-REC Detail ACS'!F24)</f>
        <v>137.6322592855907</v>
      </c>
      <c r="F9" s="165">
        <f>SUM(D9:E9)</f>
        <v>210.75404052669157</v>
      </c>
      <c r="G9" s="83">
        <f>IF(ISERROR(F9/C9),"n/a",F9/C9)</f>
        <v>0.0817178967532042</v>
      </c>
      <c r="I9" s="29">
        <v>1.3504200021808366</v>
      </c>
      <c r="K9" s="42">
        <f>D9*I9</f>
        <v>98.7451159830741</v>
      </c>
      <c r="L9" s="42">
        <f>E9*I9</f>
        <v>185.86135588460084</v>
      </c>
      <c r="M9" s="42">
        <f>SUM(K9:L9)</f>
        <v>284.60647186767494</v>
      </c>
      <c r="N9" s="83">
        <f>IF(ISERROR(M9/C9),"n/a",M9/C9)</f>
        <v>0.1103534823116754</v>
      </c>
    </row>
    <row r="10" spans="2:14" ht="12.75">
      <c r="B10" t="s">
        <v>279</v>
      </c>
      <c r="C10" s="6">
        <f>SUM('Table 3.26-REC Detail NonACS'!E10,'Table 3.26-REC Detail NonACS'!E25)</f>
        <v>68094.53428433383</v>
      </c>
      <c r="D10" s="42">
        <f>SUM('Table 3.26-REC Detail NonACS'!F10,'Table 3.26-REC Detail NonACS'!F25)</f>
        <v>1930.6354969166082</v>
      </c>
      <c r="E10" s="42">
        <f>SUM('Table 3.27-REC Detail ACS'!F10,'Table 3.27-REC Detail ACS'!F25)</f>
        <v>3633.9066251881063</v>
      </c>
      <c r="F10" s="165">
        <f>SUM(D10:E10)</f>
        <v>5564.5421221047145</v>
      </c>
      <c r="G10" s="83">
        <f>IF(ISERROR(F10/C10),"n/a",F10/C10)</f>
        <v>0.08171789675320419</v>
      </c>
      <c r="I10" s="29">
        <v>1.3504200021808366</v>
      </c>
      <c r="K10" s="42">
        <f>D10*I10</f>
        <v>2607.1687919565265</v>
      </c>
      <c r="L10" s="42">
        <f>E10*I10</f>
        <v>4907.300192711479</v>
      </c>
      <c r="M10" s="42">
        <f>SUM(K10:L10)</f>
        <v>7514.468984668006</v>
      </c>
      <c r="N10" s="83">
        <f>IF(ISERROR(M10/C10),"n/a",M10/C10)</f>
        <v>0.11035348231167538</v>
      </c>
    </row>
    <row r="11" spans="3:5" ht="12.75">
      <c r="C11" s="6"/>
      <c r="D11" s="42"/>
      <c r="E11" s="42"/>
    </row>
    <row r="12" spans="1:14" ht="12.75">
      <c r="A12" s="12" t="s">
        <v>4</v>
      </c>
      <c r="B12" s="12" t="s">
        <v>373</v>
      </c>
      <c r="C12" s="6">
        <f>SUM('Table 3.26-REC Detail NonACS'!E15,'Table 3.26-REC Detail NonACS'!E30,'Table 3.26-REC Detail NonACS'!E36)</f>
        <v>50968.27756843625</v>
      </c>
      <c r="D12" s="42">
        <f>SUM('Table 3.26-REC Detail NonACS'!F15,'Table 3.26-REC Detail NonACS'!F30,'Table 3.26-REC Detail NonACS'!F36)</f>
        <v>1445.067022258205</v>
      </c>
      <c r="E12" s="42">
        <f>SUM('Table 3.27-REC Detail ACS'!F15,'Table 3.27-REC Detail ACS'!F30,'Table 3.27-REC Detail ACS'!F36)</f>
        <v>2719.9534217679216</v>
      </c>
      <c r="F12" s="165">
        <f>SUM(D12:E12)</f>
        <v>4165.020444026127</v>
      </c>
      <c r="G12" s="83">
        <f>IF(ISERROR(F12/C12),"n/a",F12/C12)</f>
        <v>0.08171789675320419</v>
      </c>
      <c r="I12" s="29">
        <v>1.3504200021808366</v>
      </c>
      <c r="K12" s="42">
        <f>D12*I12</f>
        <v>1951.4474113493802</v>
      </c>
      <c r="L12" s="42">
        <f>E12*I12</f>
        <v>3673.0795057556106</v>
      </c>
      <c r="M12" s="42">
        <f>SUM(K12:L12)</f>
        <v>5624.526917104991</v>
      </c>
      <c r="N12" s="83">
        <f>IF(ISERROR(M12/C12),"n/a",M12/C12)</f>
        <v>0.1103534823116754</v>
      </c>
    </row>
    <row r="13" spans="1:14" ht="12.75">
      <c r="A13" s="283"/>
      <c r="B13" s="325" t="s">
        <v>279</v>
      </c>
      <c r="C13" s="10">
        <f>SUM('Table 3.26-REC Detail NonACS'!E16,'Table 3.26-REC Detail NonACS'!E31,'Table 3.26-REC Detail NonACS'!E37)</f>
        <v>185683.33603075106</v>
      </c>
      <c r="D13" s="174">
        <f>SUM('Table 3.26-REC Detail NonACS'!F16,'Table 3.26-REC Detail NonACS'!F31,'Table 3.26-REC Detail NonACS'!F37)</f>
        <v>5264.54646462481</v>
      </c>
      <c r="E13" s="174">
        <f>SUM('Table 3.27-REC Detail ACS'!F16,'Table 3.27-REC Detail ACS'!F31,'Table 3.27-REC Detail ACS'!F37)</f>
        <v>9909.105217926623</v>
      </c>
      <c r="F13" s="326">
        <f>SUM(D13:E13)</f>
        <v>15173.651682551434</v>
      </c>
      <c r="G13" s="172">
        <f>IF(ISERROR(F13/C13),"n/a",F13/C13)</f>
        <v>0.08171789675320419</v>
      </c>
      <c r="H13" s="283"/>
      <c r="I13" s="446">
        <v>1.3504200021808366</v>
      </c>
      <c r="J13" s="283"/>
      <c r="K13" s="174">
        <f>D13*I13</f>
        <v>7109.3488482397515</v>
      </c>
      <c r="L13" s="174">
        <f>E13*I13</f>
        <v>13381.45389000261</v>
      </c>
      <c r="M13" s="174">
        <f>SUM(K13:L13)</f>
        <v>20490.80273824236</v>
      </c>
      <c r="N13" s="172">
        <f>IF(ISERROR(M13/C13),"n/a",M13/C13)</f>
        <v>0.11035348231167537</v>
      </c>
    </row>
    <row r="14" spans="2:14" ht="12.75">
      <c r="B14" s="14" t="s">
        <v>428</v>
      </c>
      <c r="C14" s="6">
        <f>SUM(C4:C13)</f>
        <v>1736119.5164659435</v>
      </c>
      <c r="D14" s="42">
        <f>SUM(D4:D13)</f>
        <v>51883.49138205928</v>
      </c>
      <c r="E14" s="42">
        <f>SUM(E4:E13)</f>
        <v>20291.432519741487</v>
      </c>
      <c r="F14" s="42">
        <f>SUM(F4:F13)</f>
        <v>72174.92390180076</v>
      </c>
      <c r="G14" s="83">
        <f>IF(ISERROR(F14/C14),"n/a",F14/C14)</f>
        <v>0.041572554894561936</v>
      </c>
      <c r="K14" s="42">
        <f>SUM(K4:K13)</f>
        <v>70064.50454530992</v>
      </c>
      <c r="L14" s="42">
        <f>SUM(L4:L13)</f>
        <v>27401.956347561594</v>
      </c>
      <c r="M14" s="42">
        <f>SUM(M4:M13)</f>
        <v>97466.4608928715</v>
      </c>
      <c r="N14" s="83">
        <f>IF(ISERROR(M14/C14),"n/a",M14/C14)</f>
        <v>0.05614040967137728</v>
      </c>
    </row>
    <row r="15" spans="2:14" ht="12.75">
      <c r="B15" s="14"/>
      <c r="C15" s="6"/>
      <c r="D15" s="42"/>
      <c r="E15" s="6"/>
      <c r="G15" s="83"/>
      <c r="M15" s="42"/>
      <c r="N15" s="83"/>
    </row>
    <row r="16" spans="2:14" ht="12.75">
      <c r="B16" s="14" t="s">
        <v>482</v>
      </c>
      <c r="C16" s="6">
        <f>'Table 3.26-REC Detail NonACS'!E45</f>
        <v>49759.91681082412</v>
      </c>
      <c r="D16" s="42">
        <f>'Table 3.26-REC Detail NonACS'!F45</f>
        <v>14285.376989018387</v>
      </c>
      <c r="E16" s="42">
        <f>'Table 3.27-REC Detail ACS'!F45</f>
        <v>0</v>
      </c>
      <c r="F16" s="165">
        <f>SUM(D16:E16)</f>
        <v>14285.376989018387</v>
      </c>
      <c r="G16" s="83">
        <f>IF(ISERROR(F16/C16),"n/a",F16/C16)</f>
        <v>0.28708603037517405</v>
      </c>
      <c r="I16" s="29">
        <v>1.3504200021808366</v>
      </c>
      <c r="K16" s="42">
        <f>D16*I16</f>
        <v>19291.25882466428</v>
      </c>
      <c r="L16" s="42">
        <f>E16*I16</f>
        <v>0</v>
      </c>
      <c r="M16" s="42">
        <f>SUM(K16:L16)</f>
        <v>19291.25882466428</v>
      </c>
      <c r="N16" s="83">
        <f>IF(ISERROR(M16/C16),"n/a",M16/C16)</f>
        <v>0.3876867177653302</v>
      </c>
    </row>
    <row r="17" spans="2:14" ht="12.75">
      <c r="B17" s="14"/>
      <c r="C17" s="6"/>
      <c r="D17" s="42"/>
      <c r="E17" s="6"/>
      <c r="G17" s="83"/>
      <c r="M17" s="42"/>
      <c r="N17" s="83"/>
    </row>
    <row r="18" spans="2:14" ht="12.75">
      <c r="B18" s="14" t="s">
        <v>429</v>
      </c>
      <c r="C18" s="6">
        <f>SUM(C14,C16)</f>
        <v>1785879.4332767676</v>
      </c>
      <c r="D18" s="42">
        <f>SUM(D14,D16)</f>
        <v>66168.86837107767</v>
      </c>
      <c r="E18" s="42">
        <f>SUM(E14,E16)</f>
        <v>20291.432519741487</v>
      </c>
      <c r="F18" s="165">
        <f>SUM(D18:E18)</f>
        <v>86460.30089081916</v>
      </c>
      <c r="G18" s="83">
        <f>IF(ISERROR(F18/C18),"n/a",F18/C18)</f>
        <v>0.048413291110128334</v>
      </c>
      <c r="K18" s="42">
        <f>SUM(K14,K16)</f>
        <v>89355.7633699742</v>
      </c>
      <c r="L18" s="42">
        <f>SUM(L14,L16)</f>
        <v>27401.956347561594</v>
      </c>
      <c r="M18" s="42">
        <f>SUM(K18:L18)</f>
        <v>116757.7197175358</v>
      </c>
      <c r="N18" s="83">
        <f>IF(ISERROR(M18/C18),"n/a",M18/C18)</f>
        <v>0.06537827668652098</v>
      </c>
    </row>
    <row r="19" spans="2:14" ht="12.75" hidden="1">
      <c r="B19" s="14"/>
      <c r="C19" s="6"/>
      <c r="D19" s="6"/>
      <c r="E19" s="6"/>
      <c r="F19" s="42"/>
      <c r="G19" s="83"/>
      <c r="K19" s="240"/>
      <c r="L19" s="240"/>
      <c r="M19" s="42"/>
      <c r="N19" s="83"/>
    </row>
    <row r="20" spans="2:14" ht="12.75" hidden="1">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5" ht="12.75">
      <c r="A21" s="283"/>
      <c r="B21" s="293"/>
      <c r="C21" s="293"/>
      <c r="D21" s="38"/>
      <c r="E21" s="38"/>
    </row>
    <row r="22" spans="1:5" ht="12.75">
      <c r="A22" s="11" t="s">
        <v>235</v>
      </c>
      <c r="B22" s="64"/>
      <c r="C22" s="64"/>
      <c r="D22" s="64"/>
      <c r="E22" s="64"/>
    </row>
    <row r="23" spans="1:5" ht="12.75">
      <c r="A23" s="25" t="s">
        <v>658</v>
      </c>
      <c r="B23" s="64"/>
      <c r="C23" s="64"/>
      <c r="D23" s="64"/>
      <c r="E23" s="64"/>
    </row>
    <row r="24" spans="1:5" ht="12.75">
      <c r="A24" s="25" t="s">
        <v>36</v>
      </c>
      <c r="B24" s="64"/>
      <c r="C24" s="64"/>
      <c r="D24" s="64"/>
      <c r="E24" s="64"/>
    </row>
    <row r="25" ht="12.75">
      <c r="A25" s="25" t="s">
        <v>808</v>
      </c>
    </row>
    <row r="26" ht="12.75">
      <c r="A26" s="12" t="s">
        <v>25</v>
      </c>
    </row>
    <row r="27" ht="12.75">
      <c r="A27" s="12" t="s">
        <v>42</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sheetPr codeName="Sheet24">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673</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f>'Table 3.28-REC Volume'!H4</f>
        <v>299681.0957591971</v>
      </c>
      <c r="F4" s="42">
        <v>16993.286386589796</v>
      </c>
      <c r="G4" s="83">
        <f>IF(ISERROR(F4/E4),"n/a",F4/E4)</f>
        <v>0.056704565710225585</v>
      </c>
      <c r="I4" s="29">
        <v>1.3504200021808366</v>
      </c>
      <c r="K4" s="42">
        <f>F4*I4</f>
        <v>22948.07383923817</v>
      </c>
      <c r="L4" s="83">
        <f>IF(ISERROR(K4/E4),"n/a",K4/E4)</f>
        <v>0.07657497975006622</v>
      </c>
    </row>
    <row r="5" spans="4:12" ht="12.75">
      <c r="D5" t="s">
        <v>373</v>
      </c>
      <c r="E5" s="6">
        <f>'Table 3.28-REC Volume'!H5</f>
        <v>114782.14156624273</v>
      </c>
      <c r="F5" s="42">
        <v>6508.671488803427</v>
      </c>
      <c r="G5" s="83">
        <f>IF(ISERROR(F5/E5),"n/a",F5/E5)</f>
        <v>0.056704565710225585</v>
      </c>
      <c r="I5" s="29">
        <v>1.3504200021808366</v>
      </c>
      <c r="K5" s="42">
        <f>F5*I5</f>
        <v>8789.440166104272</v>
      </c>
      <c r="L5" s="83">
        <f>IF(ISERROR(K5/E5),"n/a",K5/E5)</f>
        <v>0.07657497975006623</v>
      </c>
    </row>
    <row r="6" spans="4:12" ht="12.75">
      <c r="D6" t="s">
        <v>279</v>
      </c>
      <c r="E6" s="6">
        <f>'Table 3.28-REC Volume'!H6</f>
        <v>7001.4626589249665</v>
      </c>
      <c r="F6" s="42">
        <v>397.01489941070156</v>
      </c>
      <c r="G6" s="83">
        <f>IF(ISERROR(F6/E6),"n/a",F6/E6)</f>
        <v>0.05670456571022559</v>
      </c>
      <c r="I6" s="29">
        <v>1.3504200021808366</v>
      </c>
      <c r="K6" s="42">
        <f>F6*I6</f>
        <v>536.1368613280242</v>
      </c>
      <c r="L6" s="83">
        <f>IF(ISERROR(K6/E6),"n/a",K6/E6)</f>
        <v>0.07657497975006623</v>
      </c>
    </row>
    <row r="7" ht="12.75">
      <c r="E7" s="6"/>
    </row>
    <row r="8" spans="2:12" ht="12.75">
      <c r="B8" t="s">
        <v>476</v>
      </c>
      <c r="C8" t="s">
        <v>398</v>
      </c>
      <c r="D8" t="s">
        <v>278</v>
      </c>
      <c r="E8" s="6">
        <f>'Table 3.28-REC Volume'!H8</f>
        <v>63810.169678064085</v>
      </c>
      <c r="F8" s="42">
        <v>1809.1639797452146</v>
      </c>
      <c r="G8" s="83">
        <f>IF(ISERROR(F8/E8),"n/a",F8/E8)</f>
        <v>0.028352282855112793</v>
      </c>
      <c r="I8" s="29">
        <v>1.3504200021808366</v>
      </c>
      <c r="K8" s="42">
        <f>F8*I8</f>
        <v>2443.1312254730237</v>
      </c>
      <c r="L8" s="83">
        <f>IF(ISERROR(K8/E8),"n/a",K8/E8)</f>
        <v>0.038287489875033116</v>
      </c>
    </row>
    <row r="9" spans="4:12" ht="12.75">
      <c r="D9" t="s">
        <v>373</v>
      </c>
      <c r="E9" s="6">
        <f>'Table 3.28-REC Volume'!H9</f>
        <v>2257.1858812262312</v>
      </c>
      <c r="F9" s="42">
        <v>63.996372561093146</v>
      </c>
      <c r="G9" s="83">
        <f>IF(ISERROR(F9/E9),"n/a",F9/E9)</f>
        <v>0.028352282855112796</v>
      </c>
      <c r="I9" s="29">
        <v>1.3504200021808366</v>
      </c>
      <c r="K9" s="42">
        <f>F9*I9</f>
        <v>86.42198157351703</v>
      </c>
      <c r="L9" s="83">
        <f>IF(ISERROR(K9/E9),"n/a",K9/E9)</f>
        <v>0.038287489875033116</v>
      </c>
    </row>
    <row r="10" spans="4:12" ht="12.75">
      <c r="D10" t="s">
        <v>279</v>
      </c>
      <c r="E10" s="6">
        <f>'Table 3.28-REC Volume'!H10</f>
        <v>59596.51298790967</v>
      </c>
      <c r="F10" s="42">
        <v>1689.6971934116182</v>
      </c>
      <c r="G10" s="83">
        <f>IF(ISERROR(F10/E10),"n/a",F10/E10)</f>
        <v>0.028352282855112793</v>
      </c>
      <c r="I10" s="29">
        <v>1.3504200021808366</v>
      </c>
      <c r="K10" s="42">
        <f>F10*I10</f>
        <v>2281.800887611871</v>
      </c>
      <c r="L10" s="83">
        <f>IF(ISERROR(K10/E10),"n/a",K10/E10)</f>
        <v>0.038287489875033116</v>
      </c>
    </row>
    <row r="11" ht="12.75">
      <c r="E11" s="6"/>
    </row>
    <row r="12" spans="2:12" ht="12.75">
      <c r="B12" t="s">
        <v>407</v>
      </c>
      <c r="C12" s="12" t="s">
        <v>48</v>
      </c>
      <c r="D12" t="s">
        <v>373</v>
      </c>
      <c r="E12" s="6">
        <f>'Table 3.28-REC Volume'!H12</f>
        <v>12431.55898006818</v>
      </c>
      <c r="F12" s="42">
        <v>704.9261530658209</v>
      </c>
      <c r="G12" s="83">
        <f>IF(ISERROR(F12/E12),"n/a",F12/E12)</f>
        <v>0.05670456571022558</v>
      </c>
      <c r="I12" s="29">
        <v>1.3504200021808366</v>
      </c>
      <c r="K12" s="42">
        <f>F12*I12</f>
        <v>951.9463771604746</v>
      </c>
      <c r="L12" s="83">
        <f>IF(ISERROR(K12/E12),"n/a",K12/E12)</f>
        <v>0.07657497975006622</v>
      </c>
    </row>
    <row r="13" spans="3:12" ht="12.75">
      <c r="C13" s="12" t="s">
        <v>655</v>
      </c>
      <c r="D13" t="s">
        <v>279</v>
      </c>
      <c r="E13" s="6">
        <f>'Table 3.28-REC Volume'!H13</f>
        <v>354360.86388507875</v>
      </c>
      <c r="F13" s="42">
        <v>20093.87889130376</v>
      </c>
      <c r="G13" s="83">
        <f>IF(ISERROR(F13/E13),"n/a",F13/E13)</f>
        <v>0.056704565710225606</v>
      </c>
      <c r="I13" s="29">
        <v>1.3504200021808366</v>
      </c>
      <c r="K13" s="42">
        <f>F13*I13</f>
        <v>27135.17597621589</v>
      </c>
      <c r="L13" s="83">
        <f>IF(ISERROR(K13/E13),"n/a",K13/E13)</f>
        <v>0.07657497975006626</v>
      </c>
    </row>
    <row r="14" ht="12.75">
      <c r="E14" s="6"/>
    </row>
    <row r="15" spans="2:12" ht="12.75">
      <c r="B15" t="s">
        <v>400</v>
      </c>
      <c r="C15" s="12" t="s">
        <v>48</v>
      </c>
      <c r="D15" t="s">
        <v>373</v>
      </c>
      <c r="E15" s="6">
        <f>'Table 3.28-REC Volume'!H15</f>
        <v>2048.7558943815225</v>
      </c>
      <c r="F15" s="42">
        <v>58.08690661858452</v>
      </c>
      <c r="G15" s="83">
        <f>IF(ISERROR(F15/E15),"n/a",F15/E15)</f>
        <v>0.028352282855112796</v>
      </c>
      <c r="I15" s="29">
        <v>1.3504200021808366</v>
      </c>
      <c r="K15" s="42">
        <f>F15*I15</f>
        <v>78.44172056254696</v>
      </c>
      <c r="L15" s="83">
        <f>IF(ISERROR(K15/E15),"n/a",K15/E15)</f>
        <v>0.038287489875033116</v>
      </c>
    </row>
    <row r="16" spans="2:12" ht="12.75">
      <c r="B16" s="283"/>
      <c r="C16" s="325" t="s">
        <v>48</v>
      </c>
      <c r="D16" s="283" t="s">
        <v>279</v>
      </c>
      <c r="E16" s="10">
        <f>'Table 3.28-REC Volume'!H16</f>
        <v>12030.824873492433</v>
      </c>
      <c r="F16" s="174">
        <v>341.101349793584</v>
      </c>
      <c r="G16" s="172">
        <f>IF(ISERROR(F16/E16),"n/a",F16/E16)</f>
        <v>0.02835228285511279</v>
      </c>
      <c r="H16" s="283"/>
      <c r="I16" s="446">
        <v>1.3504200021808366</v>
      </c>
      <c r="J16" s="283"/>
      <c r="K16" s="174">
        <f>F16*I16</f>
        <v>460.630085532138</v>
      </c>
      <c r="L16" s="172">
        <f>IF(ISERROR(K16/E16),"n/a",K16/E16)</f>
        <v>0.03828748987503311</v>
      </c>
    </row>
    <row r="17" spans="4:12" ht="12.75">
      <c r="D17" s="447" t="s">
        <v>406</v>
      </c>
      <c r="E17" s="6">
        <f>SUM(E4:E16)</f>
        <v>928000.5721645857</v>
      </c>
      <c r="F17" s="42">
        <f>SUM(F4:F16)</f>
        <v>48659.82362130361</v>
      </c>
      <c r="G17" s="83">
        <f>IF(ISERROR(F17/E17),"n/a",F17/E17)</f>
        <v>0.05243512243511153</v>
      </c>
      <c r="K17" s="42">
        <f>SUM(K4:K16)</f>
        <v>65711.19912079992</v>
      </c>
      <c r="L17" s="83">
        <f>IF(ISERROR(K17/E17),"n/a",K17/E17)</f>
        <v>0.07080943815317574</v>
      </c>
    </row>
    <row r="18" ht="4.5" customHeight="1"/>
    <row r="19" spans="1:12" ht="12.75">
      <c r="A19" s="25" t="s">
        <v>411</v>
      </c>
      <c r="B19" t="s">
        <v>407</v>
      </c>
      <c r="C19" t="s">
        <v>398</v>
      </c>
      <c r="D19" t="s">
        <v>278</v>
      </c>
      <c r="E19" s="6">
        <f>'Table 3.28-REC Volume'!H19</f>
        <v>42732.30439529291</v>
      </c>
      <c r="F19" s="42">
        <v>2423.1167625322487</v>
      </c>
      <c r="G19" s="83">
        <f>IF(ISERROR(F19/E19),"n/a",F19/E19)</f>
        <v>0.05670456571022559</v>
      </c>
      <c r="I19" s="29">
        <v>1.3504200021808366</v>
      </c>
      <c r="K19" s="42">
        <f>F19*I19</f>
        <v>3272.225343743221</v>
      </c>
      <c r="L19" s="83">
        <f>IF(ISERROR(K19/E19),"n/a",K19/E19)</f>
        <v>0.07657497975006623</v>
      </c>
    </row>
    <row r="20" spans="4:12" ht="12.75">
      <c r="D20" t="s">
        <v>373</v>
      </c>
      <c r="E20" s="6">
        <f>'Table 3.28-REC Volume'!H20</f>
        <v>16367.083149260534</v>
      </c>
      <c r="F20" s="42">
        <v>928.0883419219699</v>
      </c>
      <c r="G20" s="83">
        <f>IF(ISERROR(F20/E20),"n/a",F20/E20)</f>
        <v>0.05670456571022559</v>
      </c>
      <c r="I20" s="29">
        <v>1.3504200021808366</v>
      </c>
      <c r="K20" s="42">
        <f>F20*I20</f>
        <v>1253.3090607222757</v>
      </c>
      <c r="L20" s="83">
        <f>IF(ISERROR(K20/E20),"n/a",K20/E20)</f>
        <v>0.07657497975006623</v>
      </c>
    </row>
    <row r="21" spans="4:12" ht="12.75">
      <c r="D21" t="s">
        <v>279</v>
      </c>
      <c r="E21" s="6">
        <f>'Table 3.28-REC Volume'!H21</f>
        <v>998.3567124763373</v>
      </c>
      <c r="F21" s="42">
        <v>56.611383804859265</v>
      </c>
      <c r="G21" s="83">
        <f>IF(ISERROR(F21/E21),"n/a",F21/E21)</f>
        <v>0.05670456571022559</v>
      </c>
      <c r="I21" s="29">
        <v>1.3504200021808366</v>
      </c>
      <c r="K21" s="42">
        <f>F21*I21</f>
        <v>76.44914504121823</v>
      </c>
      <c r="L21" s="83">
        <f>IF(ISERROR(K21/E21),"n/a",K21/E21)</f>
        <v>0.07657497975006623</v>
      </c>
    </row>
    <row r="22" ht="12.75">
      <c r="E22" s="6"/>
    </row>
    <row r="23" spans="2:12" ht="12.75">
      <c r="B23" t="s">
        <v>476</v>
      </c>
      <c r="C23" t="s">
        <v>398</v>
      </c>
      <c r="D23" t="s">
        <v>278</v>
      </c>
      <c r="E23" s="6">
        <f>'Table 3.28-REC Volume'!H23</f>
        <v>9098.857528168393</v>
      </c>
      <c r="F23" s="42">
        <v>257.9733822970028</v>
      </c>
      <c r="G23" s="83">
        <f>IF(ISERROR(F23/E23),"n/a",F23/E23)</f>
        <v>0.028352282855112803</v>
      </c>
      <c r="I23" s="29">
        <v>1.3504200021808366</v>
      </c>
      <c r="K23" s="42">
        <f>F23*I23</f>
        <v>348.3724154841163</v>
      </c>
      <c r="L23" s="83">
        <f>IF(ISERROR(K23/E23),"n/a",K23/E23)</f>
        <v>0.03828748987503312</v>
      </c>
    </row>
    <row r="24" spans="4:12" ht="12.75">
      <c r="D24" t="s">
        <v>373</v>
      </c>
      <c r="E24" s="6">
        <f>'Table 3.28-REC Volume'!H24</f>
        <v>321.85798676744406</v>
      </c>
      <c r="F24" s="42">
        <v>9.125408680007725</v>
      </c>
      <c r="G24" s="83">
        <f>IF(ISERROR(F24/E24),"n/a",F24/E24)</f>
        <v>0.028352282855112796</v>
      </c>
      <c r="I24" s="29">
        <v>1.3504200021808366</v>
      </c>
      <c r="K24" s="42">
        <f>F24*I24</f>
        <v>12.323134409557056</v>
      </c>
      <c r="L24" s="83">
        <f>IF(ISERROR(K24/E24),"n/a",K24/E24)</f>
        <v>0.038287489875033116</v>
      </c>
    </row>
    <row r="25" spans="4:12" ht="12.75">
      <c r="D25" t="s">
        <v>279</v>
      </c>
      <c r="E25" s="6">
        <f>'Table 3.28-REC Volume'!H25</f>
        <v>8498.021296424156</v>
      </c>
      <c r="F25" s="42">
        <v>240.93830350499005</v>
      </c>
      <c r="G25" s="83">
        <f>IF(ISERROR(F25/E25),"n/a",F25/E25)</f>
        <v>0.0283522828551128</v>
      </c>
      <c r="I25" s="29">
        <v>1.3504200021808366</v>
      </c>
      <c r="K25" s="42">
        <f>F25*I25</f>
        <v>325.3679043446557</v>
      </c>
      <c r="L25" s="83">
        <f>IF(ISERROR(K25/E25),"n/a",K25/E25)</f>
        <v>0.038287489875033116</v>
      </c>
    </row>
    <row r="26" ht="12.75">
      <c r="E26" s="6"/>
    </row>
    <row r="27" spans="2:12" ht="12.75">
      <c r="B27" t="s">
        <v>407</v>
      </c>
      <c r="C27" s="12" t="s">
        <v>48</v>
      </c>
      <c r="D27" s="12" t="s">
        <v>433</v>
      </c>
      <c r="E27" s="6">
        <f>'Table 3.28-REC Volume'!H27</f>
        <v>1772.6482249356466</v>
      </c>
      <c r="F27" s="42">
        <v>-850.7486723040734</v>
      </c>
      <c r="G27" s="83">
        <f>IF(ISERROR(F27/E27),"n/a",F27/E27)</f>
        <v>-0.4799309080824305</v>
      </c>
      <c r="I27" s="29">
        <v>1.3504200021808366</v>
      </c>
      <c r="K27" s="42">
        <f>F27*I27</f>
        <v>-1148.8680239082105</v>
      </c>
      <c r="L27" s="83">
        <f>IF(ISERROR(K27/E27),"n/a",K27/E27)</f>
        <v>-0.6481082979393266</v>
      </c>
    </row>
    <row r="28" spans="3:12" ht="12.75">
      <c r="C28" s="12" t="s">
        <v>655</v>
      </c>
      <c r="D28" t="s">
        <v>279</v>
      </c>
      <c r="E28" s="6">
        <f>'Table 3.28-REC Volume'!H28</f>
        <v>0</v>
      </c>
      <c r="F28" s="42">
        <v>0</v>
      </c>
      <c r="G28" s="83" t="str">
        <f>IF(ISERROR(F28/E28),"n/a",F28/E28)</f>
        <v>n/a</v>
      </c>
      <c r="I28" s="29">
        <v>1.3504200021808366</v>
      </c>
      <c r="K28" s="42">
        <f>F28*I28</f>
        <v>0</v>
      </c>
      <c r="L28" s="83" t="str">
        <f>IF(ISERROR(K28/E28),"n/a",K28/E28)</f>
        <v>n/a</v>
      </c>
    </row>
    <row r="29" ht="12.75">
      <c r="E29" s="6"/>
    </row>
    <row r="30" spans="2:12" ht="12.75">
      <c r="B30" t="s">
        <v>400</v>
      </c>
      <c r="C30" s="12" t="s">
        <v>48</v>
      </c>
      <c r="D30" t="s">
        <v>373</v>
      </c>
      <c r="E30" s="6">
        <f>'Table 3.28-REC Volume'!H30</f>
        <v>292.137414569217</v>
      </c>
      <c r="F30" s="42">
        <v>8.28276261042779</v>
      </c>
      <c r="G30" s="83">
        <f>IF(ISERROR(F30/E30),"n/a",F30/E30)</f>
        <v>0.028352282855112793</v>
      </c>
      <c r="I30" s="29">
        <v>1.3504200021808366</v>
      </c>
      <c r="K30" s="42">
        <f>F30*I30</f>
        <v>11.185208302437248</v>
      </c>
      <c r="L30" s="83">
        <f>IF(ISERROR(K30/E30),"n/a",K30/E30)</f>
        <v>0.038287489875033116</v>
      </c>
    </row>
    <row r="31" spans="2:12" ht="12.75">
      <c r="B31" s="283"/>
      <c r="C31" s="325" t="s">
        <v>48</v>
      </c>
      <c r="D31" s="283" t="s">
        <v>279</v>
      </c>
      <c r="E31" s="10">
        <f>'Table 3.28-REC Volume'!H31</f>
        <v>1715.5065097387353</v>
      </c>
      <c r="F31" s="174">
        <v>48.63852580389994</v>
      </c>
      <c r="G31" s="172">
        <f>IF(ISERROR(F31/E31),"n/a",F31/E31)</f>
        <v>0.028352282855112796</v>
      </c>
      <c r="H31" s="283"/>
      <c r="I31" s="446">
        <v>1.3504200021808366</v>
      </c>
      <c r="J31" s="283"/>
      <c r="K31" s="174">
        <f>F31*I31</f>
        <v>65.68243812217523</v>
      </c>
      <c r="L31" s="172">
        <f>IF(ISERROR(K31/E31),"n/a",K31/E31)</f>
        <v>0.038287489875033116</v>
      </c>
    </row>
    <row r="32" spans="4:12" ht="12.75">
      <c r="D32" s="447" t="s">
        <v>405</v>
      </c>
      <c r="E32" s="6">
        <f>SUM(E19:E31)</f>
        <v>81796.77321763337</v>
      </c>
      <c r="F32" s="42">
        <f>SUM(F19:F31)</f>
        <v>3122.0261988513325</v>
      </c>
      <c r="G32" s="83">
        <f>IF(ISERROR(F32/E32),"n/a",F32/E32)</f>
        <v>0.03816808507280212</v>
      </c>
      <c r="K32" s="42">
        <f>SUM(K19:K31)</f>
        <v>4216.046626261445</v>
      </c>
      <c r="L32" s="83">
        <f>IF(ISERROR(K32/E32),"n/a",K32/E32)</f>
        <v>0.0515429455272518</v>
      </c>
    </row>
    <row r="33" ht="4.5" customHeight="1"/>
    <row r="34" spans="1:12" ht="12.75">
      <c r="A34" s="25" t="s">
        <v>412</v>
      </c>
      <c r="B34" t="s">
        <v>407</v>
      </c>
      <c r="C34" s="12" t="s">
        <v>409</v>
      </c>
      <c r="D34" s="12" t="s">
        <v>433</v>
      </c>
      <c r="E34" s="6">
        <f>'Table 3.28-REC Volume'!H34</f>
        <v>505757.78217671905</v>
      </c>
      <c r="F34" s="42">
        <v>-6151.862380152165</v>
      </c>
      <c r="G34" s="83">
        <f>IF(ISERROR(F34/E34),"n/a",F34/E34)</f>
        <v>-0.012163653426498569</v>
      </c>
      <c r="I34" s="29">
        <v>1.3504200021808366</v>
      </c>
      <c r="K34" s="42">
        <f>F34*I34</f>
        <v>-8307.598008821293</v>
      </c>
      <c r="L34" s="83">
        <f>IF(ISERROR(K34/E34),"n/a",K34/E34)</f>
        <v>-0.016426040886739136</v>
      </c>
    </row>
    <row r="35" ht="12.75">
      <c r="E35" s="6"/>
    </row>
    <row r="36" spans="2:12" ht="12.75">
      <c r="B36" t="s">
        <v>400</v>
      </c>
      <c r="C36" t="s">
        <v>409</v>
      </c>
      <c r="D36" t="s">
        <v>373</v>
      </c>
      <c r="E36" s="6">
        <f>'Table 3.28-REC Volume'!H36</f>
        <v>48627.38425948551</v>
      </c>
      <c r="F36" s="42">
        <v>1378.6973530291928</v>
      </c>
      <c r="G36" s="83">
        <f>IF(ISERROR(F36/E36),"n/a",F36/E36)</f>
        <v>0.028352282855112796</v>
      </c>
      <c r="I36" s="29">
        <v>1.3504200021808366</v>
      </c>
      <c r="K36" s="42">
        <f>F36*I36</f>
        <v>1861.820482484396</v>
      </c>
      <c r="L36" s="83">
        <f>IF(ISERROR(K36/E36),"n/a",K36/E36)</f>
        <v>0.038287489875033116</v>
      </c>
    </row>
    <row r="37" spans="2:12" ht="12.75">
      <c r="B37" s="283"/>
      <c r="C37" s="283"/>
      <c r="D37" s="283" t="s">
        <v>279</v>
      </c>
      <c r="E37" s="10">
        <f>'Table 3.28-REC Volume'!H37</f>
        <v>171937.0046475199</v>
      </c>
      <c r="F37" s="174">
        <v>4874.8065890273265</v>
      </c>
      <c r="G37" s="172">
        <f>IF(ISERROR(F37/E37),"n/a",F37/E37)</f>
        <v>0.02835228285511279</v>
      </c>
      <c r="H37" s="283"/>
      <c r="I37" s="446">
        <v>1.3504200021808366</v>
      </c>
      <c r="J37" s="283"/>
      <c r="K37" s="174">
        <f>F37*I37</f>
        <v>6583.036324585439</v>
      </c>
      <c r="L37" s="172">
        <f>IF(ISERROR(K37/E37),"n/a",K37/E37)</f>
        <v>0.03828748987503311</v>
      </c>
    </row>
    <row r="38" spans="4:12" ht="12.75">
      <c r="D38" s="447" t="s">
        <v>413</v>
      </c>
      <c r="E38" s="6">
        <f>SUM(E34:E37)</f>
        <v>726322.1710837245</v>
      </c>
      <c r="F38" s="42">
        <f>SUM(F34:F37)</f>
        <v>101.6415619043537</v>
      </c>
      <c r="G38" s="83">
        <f>IF(ISERROR(F38/E38),"n/a",F38/E38)</f>
        <v>0.00013994005133107426</v>
      </c>
      <c r="K38" s="42">
        <f>SUM(K34:K37)</f>
        <v>137.258798248542</v>
      </c>
      <c r="L38" s="83">
        <f>IF(ISERROR(K38/E38),"n/a",K38/E38)</f>
        <v>0.00018897784442369712</v>
      </c>
    </row>
    <row r="39" spans="4:12" ht="4.5" customHeight="1">
      <c r="D39" s="447"/>
      <c r="E39" s="6"/>
      <c r="F39" s="6"/>
      <c r="G39" s="83"/>
      <c r="K39" s="42"/>
      <c r="L39" s="83"/>
    </row>
    <row r="40" spans="4:12" ht="12.75">
      <c r="D40" s="447" t="s">
        <v>428</v>
      </c>
      <c r="E40" s="6">
        <f>SUM(E17,E32,E38)</f>
        <v>1736119.5164659435</v>
      </c>
      <c r="F40" s="42">
        <f>SUM(F17,F32,F38)</f>
        <v>51883.49138205929</v>
      </c>
      <c r="G40" s="83">
        <f>IF(ISERROR(F40/E40),"n/a",F40/E40)</f>
        <v>0.029884746349533396</v>
      </c>
      <c r="K40" s="42">
        <f>SUM(K17,K32,K38)</f>
        <v>70064.50454530992</v>
      </c>
      <c r="L40" s="83">
        <f>IF(ISERROR(K40/E40),"n/a",K40/E40)</f>
        <v>0.04035695923051063</v>
      </c>
    </row>
    <row r="41" spans="4:12" ht="4.5" customHeight="1">
      <c r="D41" s="447"/>
      <c r="E41" s="38"/>
      <c r="K41" s="449"/>
      <c r="L41" s="450"/>
    </row>
    <row r="42" spans="4:5" ht="12.75">
      <c r="D42" s="12" t="s">
        <v>418</v>
      </c>
      <c r="E42" s="64"/>
    </row>
    <row r="43" spans="4:12" ht="12.75">
      <c r="D43" s="14" t="s">
        <v>425</v>
      </c>
      <c r="E43" s="53">
        <f>'Table 3.28-REC Volume'!H43</f>
        <v>35941.744</v>
      </c>
      <c r="F43" s="42">
        <v>10318.372609720729</v>
      </c>
      <c r="G43" s="83">
        <f>IF(ISERROR(F43/E43),"n/a",F43/E43)</f>
        <v>0.28708603037517405</v>
      </c>
      <c r="I43" s="29">
        <v>1.3504200021808366</v>
      </c>
      <c r="K43" s="42">
        <f>F43*I43</f>
        <v>13934.13676212175</v>
      </c>
      <c r="L43" s="83">
        <f>IF(ISERROR(K43/E43),"n/a",K43/E43)</f>
        <v>0.3876867177653302</v>
      </c>
    </row>
    <row r="44" spans="4:12" ht="12.75">
      <c r="D44" s="451" t="s">
        <v>426</v>
      </c>
      <c r="E44" s="282">
        <f>'Table 3.28-REC Volume'!H44</f>
        <v>13818.17281082412</v>
      </c>
      <c r="F44" s="174">
        <v>3967.004379297658</v>
      </c>
      <c r="G44" s="172">
        <f>IF(ISERROR(F44/E44),"n/a",F44/E44)</f>
        <v>0.2870860303751741</v>
      </c>
      <c r="H44" s="283"/>
      <c r="I44" s="446">
        <v>1.3504200021808366</v>
      </c>
      <c r="J44" s="283"/>
      <c r="K44" s="174">
        <f>F44*I44</f>
        <v>5357.122062542531</v>
      </c>
      <c r="L44" s="172">
        <f>IF(ISERROR(K44/E44),"n/a",K44/E44)</f>
        <v>0.38768671776533026</v>
      </c>
    </row>
    <row r="45" spans="4:12" ht="12.75">
      <c r="D45" s="447" t="s">
        <v>427</v>
      </c>
      <c r="E45" s="6">
        <f>SUM(E43:E44)</f>
        <v>49759.91681082412</v>
      </c>
      <c r="F45" s="42">
        <f>SUM(F43:F44)</f>
        <v>14285.376989018387</v>
      </c>
      <c r="G45" s="83">
        <f>IF(ISERROR(F45/E45),"n/a",F45/E45)</f>
        <v>0.28708603037517405</v>
      </c>
      <c r="K45" s="42">
        <f>SUM(K43:K44)</f>
        <v>19291.25882466428</v>
      </c>
      <c r="L45" s="83">
        <f>IF(ISERROR(K45/E45),"n/a",K45/E45)</f>
        <v>0.3876867177653302</v>
      </c>
    </row>
    <row r="46" ht="4.5" customHeight="1">
      <c r="D46" s="447"/>
    </row>
    <row r="47" spans="4:12" ht="12.75">
      <c r="D47" s="459" t="s">
        <v>429</v>
      </c>
      <c r="E47" s="6">
        <f>SUM(E40,E45)</f>
        <v>1785879.4332767676</v>
      </c>
      <c r="F47" s="42">
        <f>SUM(F40,F45)</f>
        <v>66168.86837107768</v>
      </c>
      <c r="G47" s="83">
        <f>IF(ISERROR(F47/E47),"n/a",F47/E47)</f>
        <v>0.037051139700774595</v>
      </c>
      <c r="K47" s="42">
        <f>SUM(K40,K45)</f>
        <v>89355.7633699742</v>
      </c>
      <c r="L47" s="83">
        <f>IF(ISERROR(K47/E47),"n/a",K47/E47)</f>
        <v>0.0500346001555225</v>
      </c>
    </row>
    <row r="48" spans="4:12" ht="12.75">
      <c r="D48" s="447"/>
      <c r="E48" s="6"/>
      <c r="F48" s="42"/>
      <c r="G48" s="83"/>
      <c r="K48" s="42"/>
      <c r="L48" s="83"/>
    </row>
    <row r="49" spans="4:12" ht="12.75">
      <c r="D49" s="360" t="s">
        <v>476</v>
      </c>
      <c r="E49" s="362">
        <f>SUM(E8:E10,E23:E25)</f>
        <v>143582.60535856</v>
      </c>
      <c r="F49" s="463">
        <f>SUM(F8:F10,F23:F25)</f>
        <v>4070.8946401999265</v>
      </c>
      <c r="G49" s="464">
        <f>IF(ISERROR(F49/E49),"n/a",F49/E49)</f>
        <v>0.028352282855112793</v>
      </c>
      <c r="H49" s="361"/>
      <c r="I49" s="465">
        <v>1.3504200021808366</v>
      </c>
      <c r="J49" s="361"/>
      <c r="K49" s="463">
        <f>F49*I49</f>
        <v>5497.41754889674</v>
      </c>
      <c r="L49" s="466">
        <f>IF(ISERROR(K49/E49),"n/a",K49/E49)</f>
        <v>0.03828748987503311</v>
      </c>
    </row>
    <row r="50" spans="4:12" ht="12.75">
      <c r="D50" s="467" t="s">
        <v>400</v>
      </c>
      <c r="E50" s="10">
        <f>SUM(E15:E16,E30:E31,E36:E37)</f>
        <v>236651.61359918732</v>
      </c>
      <c r="F50" s="174">
        <f>SUM(F15:F16,F30:F31,F36:F37)</f>
        <v>6709.613486883016</v>
      </c>
      <c r="G50" s="172">
        <f>IF(ISERROR(F50/E50),"n/a",F50/E50)</f>
        <v>0.028352282855112793</v>
      </c>
      <c r="H50" s="283"/>
      <c r="I50" s="446">
        <v>1.3504200021808366</v>
      </c>
      <c r="J50" s="283"/>
      <c r="K50" s="174">
        <f>F50*I50</f>
        <v>9060.796259589133</v>
      </c>
      <c r="L50" s="468">
        <f>IF(ISERROR(K50/E50),"n/a",K50/E50)</f>
        <v>0.038287489875033116</v>
      </c>
    </row>
    <row r="51" ht="12.75" hidden="1">
      <c r="A51" s="25"/>
    </row>
    <row r="52" spans="1:12" ht="12.75" hidden="1">
      <c r="A52" s="25"/>
      <c r="D52" s="14" t="s">
        <v>191</v>
      </c>
      <c r="E52" s="143">
        <f>E17-'Table 3.28-REC Volume'!H17</f>
        <v>0</v>
      </c>
      <c r="F52" s="143">
        <v>0</v>
      </c>
      <c r="J52" s="14" t="s">
        <v>191</v>
      </c>
      <c r="K52" s="143">
        <f>K47/F47-I44</f>
        <v>0</v>
      </c>
      <c r="L52" s="143">
        <f>L47/G47-I44</f>
        <v>0</v>
      </c>
    </row>
    <row r="53" spans="1:6" ht="12.75" hidden="1">
      <c r="A53" s="25"/>
      <c r="E53" s="143">
        <f>E32-'Table 3.28-REC Volume'!H32</f>
        <v>0</v>
      </c>
      <c r="F53" s="143">
        <v>0</v>
      </c>
    </row>
    <row r="54" spans="5:6" ht="12.75" hidden="1">
      <c r="E54" s="143">
        <f>E38-'Table 3.28-REC Volume'!H38</f>
        <v>0</v>
      </c>
      <c r="F54" s="143">
        <v>0</v>
      </c>
    </row>
    <row r="55" spans="5:6" ht="12.75" hidden="1">
      <c r="E55" s="143">
        <f>E45-'Table 3.28-REC Volume'!H45</f>
        <v>0</v>
      </c>
      <c r="F55" s="143">
        <v>0</v>
      </c>
    </row>
    <row r="56" spans="5:6" ht="12.75" hidden="1">
      <c r="E56" s="143">
        <f>E47-'Table 3.28-REC Volume'!H47</f>
        <v>0</v>
      </c>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3"/>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sheetPr codeName="Sheet26">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
      <c r="A1" s="158" t="s">
        <v>674</v>
      </c>
      <c r="B1" s="158"/>
      <c r="C1" s="158"/>
      <c r="D1" s="158"/>
    </row>
    <row r="2" spans="1:4" ht="1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v>0</v>
      </c>
      <c r="F4" s="42">
        <v>0</v>
      </c>
      <c r="G4" s="83" t="str">
        <f>IF(ISERROR(F4/E4),"n/a",F4/E4)</f>
        <v>n/a</v>
      </c>
      <c r="I4" s="29">
        <v>1.3504200021808366</v>
      </c>
      <c r="K4" s="42">
        <f>F4*I4</f>
        <v>0</v>
      </c>
      <c r="L4" s="83" t="str">
        <f>IF(ISERROR(K4/E4),"n/a",K4/E4)</f>
        <v>n/a</v>
      </c>
    </row>
    <row r="5" spans="4:12" ht="12.75">
      <c r="D5" t="s">
        <v>373</v>
      </c>
      <c r="E5" s="6">
        <v>0</v>
      </c>
      <c r="F5" s="42">
        <v>0</v>
      </c>
      <c r="G5" s="83" t="str">
        <f>IF(ISERROR(F5/E5),"n/a",F5/E5)</f>
        <v>n/a</v>
      </c>
      <c r="I5" s="29">
        <v>1.3504200021808366</v>
      </c>
      <c r="K5" s="42">
        <f>F5*I5</f>
        <v>0</v>
      </c>
      <c r="L5" s="83" t="str">
        <f>IF(ISERROR(K5/E5),"n/a",K5/E5)</f>
        <v>n/a</v>
      </c>
    </row>
    <row r="6" spans="4:12" ht="12.75">
      <c r="D6" t="s">
        <v>279</v>
      </c>
      <c r="E6" s="6">
        <v>0</v>
      </c>
      <c r="F6" s="42">
        <v>0</v>
      </c>
      <c r="G6" s="83" t="str">
        <f>IF(ISERROR(F6/E6),"n/a",F6/E6)</f>
        <v>n/a</v>
      </c>
      <c r="I6" s="29">
        <v>1.3504200021808366</v>
      </c>
      <c r="K6" s="42">
        <f>F6*I6</f>
        <v>0</v>
      </c>
      <c r="L6" s="83" t="str">
        <f>IF(ISERROR(K6/E6),"n/a",K6/E6)</f>
        <v>n/a</v>
      </c>
    </row>
    <row r="7" ht="12.75">
      <c r="E7" s="6"/>
    </row>
    <row r="8" spans="2:12" ht="12.75">
      <c r="B8" t="s">
        <v>476</v>
      </c>
      <c r="C8" t="s">
        <v>398</v>
      </c>
      <c r="D8" t="s">
        <v>278</v>
      </c>
      <c r="E8" s="6">
        <f>'Table 3.28-REC Volume'!H8</f>
        <v>63810.169678064085</v>
      </c>
      <c r="F8" s="42">
        <v>3405.2688778112674</v>
      </c>
      <c r="G8" s="83">
        <f>IF(ISERROR(F8/E8),"n/a",F8/E8)</f>
        <v>0.053365613898091406</v>
      </c>
      <c r="I8" s="29">
        <v>1.3504200021808366</v>
      </c>
      <c r="K8" s="42">
        <f>F8*I8</f>
        <v>4598.543205400227</v>
      </c>
      <c r="L8" s="83">
        <f>IF(ISERROR(K8/E8),"n/a",K8/E8)</f>
        <v>0.07206599243664227</v>
      </c>
    </row>
    <row r="9" spans="4:12" ht="12.75">
      <c r="D9" t="s">
        <v>373</v>
      </c>
      <c r="E9" s="6">
        <f>'Table 3.28-REC Volume'!H9</f>
        <v>2257.1858812262312</v>
      </c>
      <c r="F9" s="42">
        <v>120.45611023374225</v>
      </c>
      <c r="G9" s="83">
        <f>IF(ISERROR(F9/E9),"n/a",F9/E9)</f>
        <v>0.0533656138980914</v>
      </c>
      <c r="I9" s="29">
        <v>1.3504200021808366</v>
      </c>
      <c r="K9" s="42">
        <f>F9*I9</f>
        <v>162.6663406445453</v>
      </c>
      <c r="L9" s="83">
        <f>IF(ISERROR(K9/E9),"n/a",K9/E9)</f>
        <v>0.07206599243664227</v>
      </c>
    </row>
    <row r="10" spans="4:12" ht="12.75">
      <c r="D10" t="s">
        <v>279</v>
      </c>
      <c r="E10" s="6">
        <f>'Table 3.28-REC Volume'!H10</f>
        <v>59596.51298790967</v>
      </c>
      <c r="F10" s="42">
        <v>3180.4045017853764</v>
      </c>
      <c r="G10" s="83">
        <f>IF(ISERROR(F10/E10),"n/a",F10/E10)</f>
        <v>0.05336561389809139</v>
      </c>
      <c r="I10" s="29">
        <v>1.3504200021808366</v>
      </c>
      <c r="K10" s="42">
        <f>F10*I10</f>
        <v>4294.881854236951</v>
      </c>
      <c r="L10" s="83">
        <f>IF(ISERROR(K10/E10),"n/a",K10/E10)</f>
        <v>0.07206599243664226</v>
      </c>
    </row>
    <row r="11" ht="12.75">
      <c r="E11" s="6"/>
    </row>
    <row r="12" spans="2:12" ht="12.75">
      <c r="B12" t="s">
        <v>407</v>
      </c>
      <c r="C12" s="12" t="s">
        <v>48</v>
      </c>
      <c r="D12" t="s">
        <v>373</v>
      </c>
      <c r="E12" s="6">
        <v>0</v>
      </c>
      <c r="F12" s="42">
        <v>0</v>
      </c>
      <c r="G12" s="83" t="str">
        <f>IF(ISERROR(F12/E12),"n/a",F12/E12)</f>
        <v>n/a</v>
      </c>
      <c r="I12" s="29">
        <v>1.3504200021808366</v>
      </c>
      <c r="K12" s="42">
        <f>F12*I12</f>
        <v>0</v>
      </c>
      <c r="L12" s="83" t="str">
        <f>IF(ISERROR(K12/E12),"n/a",K12/E12)</f>
        <v>n/a</v>
      </c>
    </row>
    <row r="13" spans="3:12" ht="12.75">
      <c r="C13" s="12" t="s">
        <v>655</v>
      </c>
      <c r="D13" t="s">
        <v>279</v>
      </c>
      <c r="E13" s="6">
        <v>0</v>
      </c>
      <c r="F13" s="42">
        <v>0</v>
      </c>
      <c r="G13" s="83" t="str">
        <f>IF(ISERROR(F13/E13),"n/a",F13/E13)</f>
        <v>n/a</v>
      </c>
      <c r="I13" s="29">
        <v>1.3504200021808366</v>
      </c>
      <c r="K13" s="42">
        <f>F13*I13</f>
        <v>0</v>
      </c>
      <c r="L13" s="83" t="str">
        <f>IF(ISERROR(K13/E13),"n/a",K13/E13)</f>
        <v>n/a</v>
      </c>
    </row>
    <row r="14" ht="12.75">
      <c r="E14" s="6"/>
    </row>
    <row r="15" spans="2:12" ht="12.75">
      <c r="B15" t="s">
        <v>400</v>
      </c>
      <c r="C15" s="12" t="s">
        <v>48</v>
      </c>
      <c r="D15" t="s">
        <v>373</v>
      </c>
      <c r="E15" s="6">
        <f>'Table 3.28-REC Volume'!H15</f>
        <v>2048.7558943815225</v>
      </c>
      <c r="F15" s="42">
        <v>109.33311603100324</v>
      </c>
      <c r="G15" s="83">
        <f>IF(ISERROR(F15/E15),"n/a",F15/E15)</f>
        <v>0.0533656138980914</v>
      </c>
      <c r="I15" s="29">
        <v>1.3504200021808366</v>
      </c>
      <c r="K15" s="42">
        <f>F15*I15</f>
        <v>147.64562678902504</v>
      </c>
      <c r="L15" s="83">
        <f>IF(ISERROR(K15/E15),"n/a",K15/E15)</f>
        <v>0.07206599243664226</v>
      </c>
    </row>
    <row r="16" spans="2:12" ht="12.75">
      <c r="B16" s="283"/>
      <c r="C16" s="325" t="s">
        <v>48</v>
      </c>
      <c r="D16" s="283" t="s">
        <v>279</v>
      </c>
      <c r="E16" s="10">
        <f>'Table 3.28-REC Volume'!H16</f>
        <v>12030.824873492433</v>
      </c>
      <c r="F16" s="174">
        <v>642.0323550743516</v>
      </c>
      <c r="G16" s="172">
        <f>IF(ISERROR(F16/E16),"n/a",F16/E16)</f>
        <v>0.053365613898091406</v>
      </c>
      <c r="H16" s="283"/>
      <c r="I16" s="446">
        <v>1.3504200021808366</v>
      </c>
      <c r="J16" s="283"/>
      <c r="K16" s="174">
        <f>F16*I16</f>
        <v>867.0133343396735</v>
      </c>
      <c r="L16" s="172">
        <f>IF(ISERROR(K16/E16),"n/a",K16/E16)</f>
        <v>0.07206599243664229</v>
      </c>
    </row>
    <row r="17" spans="4:12" ht="12.75">
      <c r="D17" s="447" t="s">
        <v>406</v>
      </c>
      <c r="E17" s="6">
        <f>SUM(E4:E16)</f>
        <v>139743.44931507396</v>
      </c>
      <c r="F17" s="42">
        <f>SUM(F4:F16)</f>
        <v>7457.494960935741</v>
      </c>
      <c r="G17" s="83">
        <f>IF(ISERROR(F17/E17),"n/a",F17/E17)</f>
        <v>0.05336561389809139</v>
      </c>
      <c r="K17" s="42">
        <f>SUM(K4:K16)</f>
        <v>10070.75036141042</v>
      </c>
      <c r="L17" s="83">
        <f>IF(ISERROR(K17/E17),"n/a",K17/E17)</f>
        <v>0.07206599243664226</v>
      </c>
    </row>
    <row r="18" ht="4.5" customHeight="1"/>
    <row r="19" spans="1:12" ht="12.75">
      <c r="A19" s="25" t="s">
        <v>411</v>
      </c>
      <c r="B19" t="s">
        <v>407</v>
      </c>
      <c r="C19" t="s">
        <v>398</v>
      </c>
      <c r="D19" t="s">
        <v>278</v>
      </c>
      <c r="E19" s="6">
        <v>0</v>
      </c>
      <c r="F19" s="42">
        <v>0</v>
      </c>
      <c r="G19" s="83" t="str">
        <f>IF(ISERROR(F19/E19),"n/a",F19/E19)</f>
        <v>n/a</v>
      </c>
      <c r="I19" s="29">
        <v>1.3504200021808366</v>
      </c>
      <c r="K19" s="42">
        <f>F19*I19</f>
        <v>0</v>
      </c>
      <c r="L19" s="83" t="str">
        <f>IF(ISERROR(K19/E19),"n/a",K19/E19)</f>
        <v>n/a</v>
      </c>
    </row>
    <row r="20" spans="4:12" ht="12.75">
      <c r="D20" t="s">
        <v>373</v>
      </c>
      <c r="E20" s="6">
        <v>0</v>
      </c>
      <c r="F20" s="42">
        <v>0</v>
      </c>
      <c r="G20" s="83" t="str">
        <f>IF(ISERROR(F20/E20),"n/a",F20/E20)</f>
        <v>n/a</v>
      </c>
      <c r="I20" s="29">
        <v>1.3504200021808366</v>
      </c>
      <c r="K20" s="42">
        <f>F20*I20</f>
        <v>0</v>
      </c>
      <c r="L20" s="83" t="str">
        <f>IF(ISERROR(K20/E20),"n/a",K20/E20)</f>
        <v>n/a</v>
      </c>
    </row>
    <row r="21" spans="4:12" ht="12.75">
      <c r="D21" t="s">
        <v>279</v>
      </c>
      <c r="E21" s="6">
        <v>0</v>
      </c>
      <c r="F21" s="42">
        <v>0</v>
      </c>
      <c r="G21" s="83" t="str">
        <f>IF(ISERROR(F21/E21),"n/a",F21/E21)</f>
        <v>n/a</v>
      </c>
      <c r="I21" s="29">
        <v>1.3504200021808366</v>
      </c>
      <c r="K21" s="42">
        <f>F21*I21</f>
        <v>0</v>
      </c>
      <c r="L21" s="83" t="str">
        <f>IF(ISERROR(K21/E21),"n/a",K21/E21)</f>
        <v>n/a</v>
      </c>
    </row>
    <row r="22" ht="12.75">
      <c r="E22" s="6"/>
    </row>
    <row r="23" spans="2:12" ht="12.75">
      <c r="B23" t="s">
        <v>476</v>
      </c>
      <c r="C23" t="s">
        <v>398</v>
      </c>
      <c r="D23" t="s">
        <v>278</v>
      </c>
      <c r="E23" s="6">
        <f>'Table 3.28-REC Volume'!H23</f>
        <v>9098.857528168393</v>
      </c>
      <c r="F23" s="42">
        <v>485.5661177619769</v>
      </c>
      <c r="G23" s="83">
        <f>IF(ISERROR(F23/E23),"n/a",F23/E23)</f>
        <v>0.05336561389809141</v>
      </c>
      <c r="I23" s="29">
        <v>1.3504200021808366</v>
      </c>
      <c r="K23" s="42">
        <f>F23*I23</f>
        <v>655.7181978070691</v>
      </c>
      <c r="L23" s="83">
        <f>IF(ISERROR(K23/E23),"n/a",K23/E23)</f>
        <v>0.07206599243664229</v>
      </c>
    </row>
    <row r="24" spans="4:12" ht="12.75">
      <c r="D24" t="s">
        <v>373</v>
      </c>
      <c r="E24" s="6">
        <f>'Table 3.28-REC Volume'!H24</f>
        <v>321.85798676744406</v>
      </c>
      <c r="F24" s="42">
        <v>17.17614905184843</v>
      </c>
      <c r="G24" s="83">
        <f>IF(ISERROR(F24/E24),"n/a",F24/E24)</f>
        <v>0.0533656138980914</v>
      </c>
      <c r="I24" s="29">
        <v>1.3504200021808366</v>
      </c>
      <c r="K24" s="42">
        <f>F24*I24</f>
        <v>23.195015240055533</v>
      </c>
      <c r="L24" s="83">
        <f>IF(ISERROR(K24/E24),"n/a",K24/E24)</f>
        <v>0.07206599243664227</v>
      </c>
    </row>
    <row r="25" spans="4:12" ht="12.75">
      <c r="D25" t="s">
        <v>279</v>
      </c>
      <c r="E25" s="6">
        <f>'Table 3.28-REC Volume'!H25</f>
        <v>8498.021296424156</v>
      </c>
      <c r="F25" s="42">
        <v>453.50212340272975</v>
      </c>
      <c r="G25" s="83">
        <f>IF(ISERROR(F25/E25),"n/a",F25/E25)</f>
        <v>0.05336561389809141</v>
      </c>
      <c r="I25" s="29">
        <v>1.3504200021808366</v>
      </c>
      <c r="K25" s="42">
        <f>F25*I25</f>
        <v>612.4183384745284</v>
      </c>
      <c r="L25" s="83">
        <f>IF(ISERROR(K25/E25),"n/a",K25/E25)</f>
        <v>0.07206599243664229</v>
      </c>
    </row>
    <row r="26" ht="12.75">
      <c r="E26" s="6"/>
    </row>
    <row r="27" spans="2:12" ht="12.75">
      <c r="B27" t="s">
        <v>407</v>
      </c>
      <c r="C27" s="12" t="s">
        <v>48</v>
      </c>
      <c r="D27" s="12" t="s">
        <v>433</v>
      </c>
      <c r="E27" s="6">
        <v>0</v>
      </c>
      <c r="F27" s="42">
        <v>0</v>
      </c>
      <c r="G27" s="83" t="str">
        <f>IF(ISERROR(F27/E27),"n/a",F27/E27)</f>
        <v>n/a</v>
      </c>
      <c r="I27" s="29">
        <v>1.3504200021808366</v>
      </c>
      <c r="K27" s="42">
        <f>F27*I27</f>
        <v>0</v>
      </c>
      <c r="L27" s="83" t="str">
        <f>IF(ISERROR(K27/E27),"n/a",K27/E27)</f>
        <v>n/a</v>
      </c>
    </row>
    <row r="28" spans="3:12" ht="12.75">
      <c r="C28" s="12" t="s">
        <v>655</v>
      </c>
      <c r="D28" t="s">
        <v>279</v>
      </c>
      <c r="E28" s="6">
        <v>0</v>
      </c>
      <c r="F28" s="42">
        <v>0</v>
      </c>
      <c r="G28" s="83" t="str">
        <f>IF(ISERROR(F28/E28),"n/a",F28/E28)</f>
        <v>n/a</v>
      </c>
      <c r="I28" s="29">
        <v>1.3504200021808366</v>
      </c>
      <c r="K28" s="42">
        <f>F28*I28</f>
        <v>0</v>
      </c>
      <c r="L28" s="83" t="str">
        <f>IF(ISERROR(K28/E28),"n/a",K28/E28)</f>
        <v>n/a</v>
      </c>
    </row>
    <row r="29" ht="12.75">
      <c r="E29" s="6"/>
    </row>
    <row r="30" spans="2:12" ht="12.75">
      <c r="B30" t="s">
        <v>400</v>
      </c>
      <c r="C30" s="12" t="s">
        <v>48</v>
      </c>
      <c r="D30" t="s">
        <v>373</v>
      </c>
      <c r="E30" s="6">
        <f>'Table 3.28-REC Volume'!H30</f>
        <v>292.137414569217</v>
      </c>
      <c r="F30" s="42">
        <v>15.590092471087496</v>
      </c>
      <c r="G30" s="83">
        <f>IF(ISERROR(F30/E30),"n/a",F30/E30)</f>
        <v>0.0533656138980914</v>
      </c>
      <c r="I30" s="29">
        <v>1.3504200021808366</v>
      </c>
      <c r="K30" s="42">
        <f>F30*I30</f>
        <v>21.05317270880542</v>
      </c>
      <c r="L30" s="83">
        <f>IF(ISERROR(K30/E30),"n/a",K30/E30)</f>
        <v>0.07206599243664227</v>
      </c>
    </row>
    <row r="31" spans="2:12" ht="12.75">
      <c r="B31" s="283"/>
      <c r="C31" s="325" t="s">
        <v>48</v>
      </c>
      <c r="D31" s="283" t="s">
        <v>279</v>
      </c>
      <c r="E31" s="10">
        <f>'Table 3.28-REC Volume'!H31</f>
        <v>1715.5065097387353</v>
      </c>
      <c r="F31" s="174">
        <v>91.54905803837974</v>
      </c>
      <c r="G31" s="172">
        <f>IF(ISERROR(F31/E31),"n/a",F31/E31)</f>
        <v>0.05336561389809141</v>
      </c>
      <c r="H31" s="283"/>
      <c r="I31" s="446">
        <v>1.3504200021808366</v>
      </c>
      <c r="J31" s="283"/>
      <c r="K31" s="174">
        <f>F31*I31</f>
        <v>123.6296791558423</v>
      </c>
      <c r="L31" s="172">
        <f>IF(ISERROR(K31/E31),"n/a",K31/E31)</f>
        <v>0.07206599243664229</v>
      </c>
    </row>
    <row r="32" spans="4:12" ht="12.75">
      <c r="D32" s="447" t="s">
        <v>405</v>
      </c>
      <c r="E32" s="6">
        <f>SUM(E19:E31)</f>
        <v>19926.380735667946</v>
      </c>
      <c r="F32" s="42">
        <f>SUM(F19:F31)</f>
        <v>1063.3835407260224</v>
      </c>
      <c r="G32" s="83">
        <f>IF(ISERROR(F32/E32),"n/a",F32/E32)</f>
        <v>0.05336561389809141</v>
      </c>
      <c r="K32" s="42">
        <f>SUM(K19:K31)</f>
        <v>1436.014403386301</v>
      </c>
      <c r="L32" s="83">
        <f>IF(ISERROR(K32/E32),"n/a",K32/E32)</f>
        <v>0.0720659924366423</v>
      </c>
    </row>
    <row r="33" ht="4.5" customHeight="1"/>
    <row r="34" spans="1:12" ht="12.75">
      <c r="A34" s="25" t="s">
        <v>412</v>
      </c>
      <c r="B34" t="s">
        <v>407</v>
      </c>
      <c r="C34" s="12" t="s">
        <v>409</v>
      </c>
      <c r="D34" s="12" t="s">
        <v>433</v>
      </c>
      <c r="E34" s="6">
        <v>0</v>
      </c>
      <c r="F34" s="42">
        <v>0</v>
      </c>
      <c r="G34" s="83" t="str">
        <f>IF(ISERROR(F34/E34),"n/a",F34/E34)</f>
        <v>n/a</v>
      </c>
      <c r="I34" s="29">
        <v>1.3504200021808366</v>
      </c>
      <c r="K34" s="42">
        <f>F34*I34</f>
        <v>0</v>
      </c>
      <c r="L34" s="83" t="str">
        <f>IF(ISERROR(K34/E34),"n/a",K34/E34)</f>
        <v>n/a</v>
      </c>
    </row>
    <row r="35" ht="12.75">
      <c r="E35" s="6"/>
    </row>
    <row r="36" spans="2:12" ht="12.75">
      <c r="B36" t="s">
        <v>400</v>
      </c>
      <c r="C36" t="s">
        <v>409</v>
      </c>
      <c r="D36" t="s">
        <v>373</v>
      </c>
      <c r="E36" s="6">
        <f>'Table 3.28-REC Volume'!H36</f>
        <v>48627.38425948551</v>
      </c>
      <c r="F36" s="42">
        <v>2595.0302132658308</v>
      </c>
      <c r="G36" s="83">
        <f>IF(ISERROR(F36/E36),"n/a",F36/E36)</f>
        <v>0.0533656138980914</v>
      </c>
      <c r="I36" s="29">
        <v>1.3504200021808366</v>
      </c>
      <c r="K36" s="42">
        <f>F36*I36</f>
        <v>3504.38070625778</v>
      </c>
      <c r="L36" s="83">
        <f>IF(ISERROR(K36/E36),"n/a",K36/E36)</f>
        <v>0.07206599243664226</v>
      </c>
    </row>
    <row r="37" spans="2:12" ht="12.75">
      <c r="B37" s="283"/>
      <c r="C37" s="283"/>
      <c r="D37" s="283" t="s">
        <v>279</v>
      </c>
      <c r="E37" s="10">
        <f>'Table 3.28-REC Volume'!H37</f>
        <v>171937.0046475199</v>
      </c>
      <c r="F37" s="174">
        <v>9175.52380481389</v>
      </c>
      <c r="G37" s="172">
        <f>IF(ISERROR(F37/E37),"n/a",F37/E37)</f>
        <v>0.053365613898091385</v>
      </c>
      <c r="H37" s="283"/>
      <c r="I37" s="446">
        <v>1.3504200021808366</v>
      </c>
      <c r="J37" s="283"/>
      <c r="K37" s="174">
        <f>F37*I37</f>
        <v>12390.810876507092</v>
      </c>
      <c r="L37" s="172">
        <f>IF(ISERROR(K37/E37),"n/a",K37/E37)</f>
        <v>0.07206599243664225</v>
      </c>
    </row>
    <row r="38" spans="4:12" ht="12.75">
      <c r="D38" s="447" t="s">
        <v>413</v>
      </c>
      <c r="E38" s="6">
        <f>SUM(E34:E37)</f>
        <v>220564.38890700543</v>
      </c>
      <c r="F38" s="42">
        <f>SUM(F34:F37)</f>
        <v>11770.554018079722</v>
      </c>
      <c r="G38" s="83">
        <f>IF(ISERROR(F38/E38),"n/a",F38/E38)</f>
        <v>0.053365613898091385</v>
      </c>
      <c r="K38" s="42">
        <f>SUM(K34:K37)</f>
        <v>15895.191582764872</v>
      </c>
      <c r="L38" s="83">
        <f>IF(ISERROR(K38/E38),"n/a",K38/E38)</f>
        <v>0.07206599243664225</v>
      </c>
    </row>
    <row r="39" spans="4:12" ht="4.5" customHeight="1">
      <c r="D39" s="447"/>
      <c r="E39" s="6"/>
      <c r="F39" s="6"/>
      <c r="G39" s="83"/>
      <c r="K39" s="42"/>
      <c r="L39" s="83"/>
    </row>
    <row r="40" spans="4:12" ht="12.75">
      <c r="D40" s="447" t="s">
        <v>428</v>
      </c>
      <c r="E40" s="6">
        <f>SUM(E17,E32,E38)</f>
        <v>380234.21895774733</v>
      </c>
      <c r="F40" s="42">
        <f>SUM(F17,F32,F38)</f>
        <v>20291.432519741487</v>
      </c>
      <c r="G40" s="83">
        <f>IF(ISERROR(F40/E40),"n/a",F40/E40)</f>
        <v>0.05336561389809139</v>
      </c>
      <c r="K40" s="42">
        <f>SUM(K17,K32,K38)</f>
        <v>27401.956347561594</v>
      </c>
      <c r="L40" s="83">
        <f>IF(ISERROR(K40/E40),"n/a",K40/E40)</f>
        <v>0.07206599243664226</v>
      </c>
    </row>
    <row r="41" spans="4:12" ht="4.5" customHeight="1">
      <c r="D41" s="447"/>
      <c r="E41" s="38"/>
      <c r="K41" s="449"/>
      <c r="L41" s="450"/>
    </row>
    <row r="42" spans="4:5" ht="12.75">
      <c r="D42" s="12" t="s">
        <v>418</v>
      </c>
      <c r="E42" s="64"/>
    </row>
    <row r="43" spans="4:12" ht="12.75">
      <c r="D43" s="14" t="s">
        <v>425</v>
      </c>
      <c r="E43" s="53">
        <v>0</v>
      </c>
      <c r="F43" s="42">
        <v>0</v>
      </c>
      <c r="G43" s="83" t="str">
        <f>IF(ISERROR(F43/E43),"n/a",F43/E43)</f>
        <v>n/a</v>
      </c>
      <c r="I43" s="29">
        <v>1.3504200021808366</v>
      </c>
      <c r="K43" s="42">
        <f>F43*I43</f>
        <v>0</v>
      </c>
      <c r="L43" s="83" t="str">
        <f>IF(ISERROR(K43/E43),"n/a",K43/E43)</f>
        <v>n/a</v>
      </c>
    </row>
    <row r="44" spans="4:12" ht="12.75">
      <c r="D44" s="451" t="s">
        <v>426</v>
      </c>
      <c r="E44" s="282">
        <v>0</v>
      </c>
      <c r="F44" s="174">
        <v>0</v>
      </c>
      <c r="G44" s="172" t="str">
        <f>IF(ISERROR(F44/E44),"n/a",F44/E44)</f>
        <v>n/a</v>
      </c>
      <c r="H44" s="283"/>
      <c r="I44" s="446">
        <v>1.3504200021808366</v>
      </c>
      <c r="J44" s="283"/>
      <c r="K44" s="174">
        <f>F44*I44</f>
        <v>0</v>
      </c>
      <c r="L44" s="172" t="str">
        <f>IF(ISERROR(K44/E44),"n/a",K44/E44)</f>
        <v>n/a</v>
      </c>
    </row>
    <row r="45" spans="4:12" ht="12.75">
      <c r="D45" s="447" t="s">
        <v>427</v>
      </c>
      <c r="E45" s="6">
        <f>SUM(E43:E44)</f>
        <v>0</v>
      </c>
      <c r="F45" s="42">
        <f>SUM(F43:F44)</f>
        <v>0</v>
      </c>
      <c r="G45" s="83" t="str">
        <f>IF(ISERROR(F45/E45),"n/a",F45/E45)</f>
        <v>n/a</v>
      </c>
      <c r="K45" s="42">
        <f>SUM(K43:K44)</f>
        <v>0</v>
      </c>
      <c r="L45" s="83" t="str">
        <f>IF(ISERROR(K45/E45),"n/a",K45/E45)</f>
        <v>n/a</v>
      </c>
    </row>
    <row r="46" ht="4.5" customHeight="1">
      <c r="D46" s="447"/>
    </row>
    <row r="47" spans="4:12" ht="12.75">
      <c r="D47" s="459" t="s">
        <v>429</v>
      </c>
      <c r="E47" s="6">
        <f>SUM(E40,E45)</f>
        <v>380234.21895774733</v>
      </c>
      <c r="F47" s="42">
        <f>SUM(F40,F45)</f>
        <v>20291.432519741487</v>
      </c>
      <c r="G47" s="83">
        <f>IF(ISERROR(F47/E47),"n/a",F47/E47)</f>
        <v>0.05336561389809139</v>
      </c>
      <c r="K47" s="42">
        <f>SUM(K40,K45)</f>
        <v>27401.956347561594</v>
      </c>
      <c r="L47" s="83">
        <f>IF(ISERROR(K47/E47),"n/a",K47/E47)</f>
        <v>0.07206599243664226</v>
      </c>
    </row>
    <row r="48" spans="4:12" ht="12.75">
      <c r="D48" s="447"/>
      <c r="E48" s="6"/>
      <c r="F48" s="42"/>
      <c r="G48" s="83"/>
      <c r="K48" s="42"/>
      <c r="L48" s="83"/>
    </row>
    <row r="49" spans="4:12" ht="12.75">
      <c r="D49" s="360" t="s">
        <v>476</v>
      </c>
      <c r="E49" s="362">
        <f>SUM(E8:E10,E23:E25)</f>
        <v>143582.60535856</v>
      </c>
      <c r="F49" s="463">
        <f>SUM(F8:F10,F23:F25)</f>
        <v>7662.373880046941</v>
      </c>
      <c r="G49" s="464">
        <f>IF(ISERROR(F49/E49),"n/a",F49/E49)</f>
        <v>0.05336561389809139</v>
      </c>
      <c r="H49" s="361"/>
      <c r="I49" s="465">
        <v>1.3504200021808366</v>
      </c>
      <c r="J49" s="361"/>
      <c r="K49" s="463">
        <f>F49*I49</f>
        <v>10347.422951803375</v>
      </c>
      <c r="L49" s="466">
        <f>IF(ISERROR(K49/E49),"n/a",K49/E49)</f>
        <v>0.07206599243664226</v>
      </c>
    </row>
    <row r="50" spans="4:12" ht="12.75">
      <c r="D50" s="467" t="s">
        <v>400</v>
      </c>
      <c r="E50" s="10">
        <f>SUM(E15:E16,E30:E31,E36:E37)</f>
        <v>236651.61359918732</v>
      </c>
      <c r="F50" s="174">
        <f>SUM(F15:F16,F30:F31,F36:F37)</f>
        <v>12629.058639694544</v>
      </c>
      <c r="G50" s="172">
        <f>IF(ISERROR(F50/E50),"n/a",F50/E50)</f>
        <v>0.053365613898091385</v>
      </c>
      <c r="H50" s="283"/>
      <c r="I50" s="446">
        <v>1.3504200021808366</v>
      </c>
      <c r="J50" s="283"/>
      <c r="K50" s="174">
        <f>F50*I50</f>
        <v>17054.53339575822</v>
      </c>
      <c r="L50" s="468">
        <f>IF(ISERROR(K50/E50),"n/a",K50/E50)</f>
        <v>0.07206599243664226</v>
      </c>
    </row>
    <row r="51" ht="12.75" hidden="1">
      <c r="A51" s="25"/>
    </row>
    <row r="52" spans="1:12" ht="12.75" hidden="1">
      <c r="A52" s="25"/>
      <c r="D52" s="14" t="s">
        <v>191</v>
      </c>
      <c r="E52" s="143">
        <f>E17-SUM('Table 3.28-REC Volume'!H8:H10,'Table 3.28-REC Volume'!H15:H16)</f>
        <v>0</v>
      </c>
      <c r="F52" s="143">
        <v>0</v>
      </c>
      <c r="J52" s="14" t="s">
        <v>191</v>
      </c>
      <c r="K52" s="143">
        <f>K47/F47-I44</f>
        <v>0</v>
      </c>
      <c r="L52" s="143">
        <f>L47/G47-I44</f>
        <v>0</v>
      </c>
    </row>
    <row r="53" spans="1:6" ht="12.75" hidden="1">
      <c r="A53" s="25"/>
      <c r="E53" s="143">
        <f>E32-SUM('Table 3.28-REC Volume'!H23:H25,'Table 3.28-REC Volume'!H30:H31)</f>
        <v>0</v>
      </c>
      <c r="F53" s="143">
        <v>0</v>
      </c>
    </row>
    <row r="54" spans="5:6" ht="12.75" hidden="1">
      <c r="E54" s="143">
        <f>E38-SUM('Table 3.28-REC Volume'!H36:H37)</f>
        <v>0</v>
      </c>
      <c r="F54" s="143">
        <v>0</v>
      </c>
    </row>
    <row r="55" spans="5:6" ht="12.75" hidden="1">
      <c r="E55" s="240"/>
      <c r="F55" s="143">
        <v>0</v>
      </c>
    </row>
    <row r="56" spans="5:6" ht="12.75" hidden="1">
      <c r="E56" s="240"/>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sheetPr codeName="Sheet27">
    <pageSetUpPr fitToPage="1"/>
  </sheetPr>
  <dimension ref="A1:H60"/>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8" width="11.7109375" style="0" customWidth="1"/>
  </cols>
  <sheetData>
    <row r="1" spans="1:4" ht="15">
      <c r="A1" s="158" t="s">
        <v>709</v>
      </c>
      <c r="B1" s="158"/>
      <c r="C1" s="158"/>
      <c r="D1" s="158"/>
    </row>
    <row r="2" spans="1:4" ht="15">
      <c r="A2" s="158" t="s">
        <v>787</v>
      </c>
      <c r="B2" s="443"/>
      <c r="C2" s="443"/>
      <c r="D2" s="443"/>
    </row>
    <row r="3" spans="1:8" ht="38.25">
      <c r="A3" s="444" t="s">
        <v>396</v>
      </c>
      <c r="B3" s="445" t="s">
        <v>399</v>
      </c>
      <c r="C3" s="444" t="s">
        <v>397</v>
      </c>
      <c r="D3" s="444" t="s">
        <v>348</v>
      </c>
      <c r="E3" s="168" t="s">
        <v>420</v>
      </c>
      <c r="F3" s="168" t="s">
        <v>421</v>
      </c>
      <c r="G3" s="168" t="s">
        <v>417</v>
      </c>
      <c r="H3" s="168" t="s">
        <v>416</v>
      </c>
    </row>
    <row r="4" spans="1:8" ht="12.75">
      <c r="A4" s="25" t="s">
        <v>422</v>
      </c>
      <c r="B4" t="s">
        <v>407</v>
      </c>
      <c r="C4" t="s">
        <v>398</v>
      </c>
      <c r="D4" t="s">
        <v>278</v>
      </c>
      <c r="E4" s="6">
        <v>499468.49293199513</v>
      </c>
      <c r="F4" s="234">
        <v>0.4</v>
      </c>
      <c r="G4" s="6">
        <f>E4*F4</f>
        <v>199787.39717279805</v>
      </c>
      <c r="H4" s="6">
        <f>E4*(1-F4)</f>
        <v>299681.0957591971</v>
      </c>
    </row>
    <row r="5" spans="4:8" ht="12.75">
      <c r="D5" t="s">
        <v>373</v>
      </c>
      <c r="E5" s="6">
        <v>191303.56927707122</v>
      </c>
      <c r="F5" s="234">
        <v>0.4</v>
      </c>
      <c r="G5" s="6">
        <f>E5*F5</f>
        <v>76521.42771082849</v>
      </c>
      <c r="H5" s="6">
        <f>E5*(1-F5)</f>
        <v>114782.14156624273</v>
      </c>
    </row>
    <row r="6" spans="4:8" ht="12.75">
      <c r="D6" t="s">
        <v>279</v>
      </c>
      <c r="E6" s="6">
        <v>11669.104431541611</v>
      </c>
      <c r="F6" s="234">
        <v>0.4</v>
      </c>
      <c r="G6" s="6">
        <f>E6*F6</f>
        <v>4667.641772616645</v>
      </c>
      <c r="H6" s="6">
        <f>E6*(1-F6)</f>
        <v>7001.4626589249665</v>
      </c>
    </row>
    <row r="7" spans="5:8" ht="12.75">
      <c r="E7" s="6"/>
      <c r="G7" s="6"/>
      <c r="H7" s="6"/>
    </row>
    <row r="8" spans="2:8" ht="12.75">
      <c r="B8" t="s">
        <v>408</v>
      </c>
      <c r="C8" t="s">
        <v>398</v>
      </c>
      <c r="D8" t="s">
        <v>278</v>
      </c>
      <c r="E8" s="6">
        <v>106350.28279677348</v>
      </c>
      <c r="F8" s="234">
        <v>0.4</v>
      </c>
      <c r="G8" s="6">
        <f>E8*F8</f>
        <v>42540.11311870939</v>
      </c>
      <c r="H8" s="6">
        <f>E8*(1-F8)</f>
        <v>63810.169678064085</v>
      </c>
    </row>
    <row r="9" spans="4:8" ht="12.75">
      <c r="D9" t="s">
        <v>373</v>
      </c>
      <c r="E9" s="6">
        <v>3761.9764687103857</v>
      </c>
      <c r="F9" s="234">
        <v>0.4</v>
      </c>
      <c r="G9" s="6">
        <f>E9*F9</f>
        <v>1504.7905874841545</v>
      </c>
      <c r="H9" s="6">
        <f>E9*(1-F9)</f>
        <v>2257.1858812262312</v>
      </c>
    </row>
    <row r="10" spans="4:8" ht="12.75">
      <c r="D10" t="s">
        <v>279</v>
      </c>
      <c r="E10" s="6">
        <v>99327.52164651612</v>
      </c>
      <c r="F10" s="234">
        <v>0.4</v>
      </c>
      <c r="G10" s="6">
        <f>E10*F10</f>
        <v>39731.00865860645</v>
      </c>
      <c r="H10" s="6">
        <f>E10*(1-F10)</f>
        <v>59596.51298790967</v>
      </c>
    </row>
    <row r="11" spans="5:8" ht="12.75">
      <c r="E11" s="6"/>
      <c r="G11" s="6"/>
      <c r="H11" s="6"/>
    </row>
    <row r="12" spans="2:8" ht="12.75">
      <c r="B12" t="s">
        <v>407</v>
      </c>
      <c r="C12" s="12" t="s">
        <v>49</v>
      </c>
      <c r="D12" t="s">
        <v>373</v>
      </c>
      <c r="E12" s="6">
        <v>20719.264966780298</v>
      </c>
      <c r="F12" s="234">
        <v>0.4</v>
      </c>
      <c r="G12" s="6">
        <f>E12*F12</f>
        <v>8287.705986712119</v>
      </c>
      <c r="H12" s="6">
        <f>E12*(1-F12)</f>
        <v>12431.55898006818</v>
      </c>
    </row>
    <row r="13" spans="3:8" ht="12.75">
      <c r="C13" s="12" t="s">
        <v>660</v>
      </c>
      <c r="D13" t="s">
        <v>279</v>
      </c>
      <c r="E13" s="6">
        <v>590601.4398084646</v>
      </c>
      <c r="F13" s="234">
        <v>0.4</v>
      </c>
      <c r="G13" s="6">
        <f>E13*F13</f>
        <v>236240.57592338586</v>
      </c>
      <c r="H13" s="6">
        <f>E13*(1-F13)</f>
        <v>354360.86388507875</v>
      </c>
    </row>
    <row r="14" spans="5:8" ht="12.75">
      <c r="E14" s="6"/>
      <c r="F14" s="234"/>
      <c r="G14" s="6"/>
      <c r="H14" s="6"/>
    </row>
    <row r="15" spans="2:8" ht="12.75">
      <c r="B15" t="s">
        <v>400</v>
      </c>
      <c r="C15" s="12" t="s">
        <v>49</v>
      </c>
      <c r="D15" t="s">
        <v>373</v>
      </c>
      <c r="E15" s="6">
        <v>3414.5931573025373</v>
      </c>
      <c r="F15" s="234">
        <v>0.4</v>
      </c>
      <c r="G15" s="6">
        <f>E15*F15</f>
        <v>1365.837262921015</v>
      </c>
      <c r="H15" s="6">
        <f>E15*(1-F15)</f>
        <v>2048.7558943815225</v>
      </c>
    </row>
    <row r="16" spans="2:8" ht="12.75">
      <c r="B16" s="283"/>
      <c r="C16" s="325" t="s">
        <v>49</v>
      </c>
      <c r="D16" s="283" t="s">
        <v>279</v>
      </c>
      <c r="E16" s="10">
        <v>20051.374789154055</v>
      </c>
      <c r="F16" s="448">
        <v>0.4</v>
      </c>
      <c r="G16" s="10">
        <f>E16*F16</f>
        <v>8020.549915661622</v>
      </c>
      <c r="H16" s="10">
        <f>E16*(1-F16)</f>
        <v>12030.824873492433</v>
      </c>
    </row>
    <row r="17" spans="4:8" ht="12.75">
      <c r="D17" s="447" t="s">
        <v>406</v>
      </c>
      <c r="E17" s="6">
        <f>SUM(E4:E16)</f>
        <v>1546667.6202743095</v>
      </c>
      <c r="G17" s="6">
        <f>SUM(G4:G16)</f>
        <v>618667.0481097237</v>
      </c>
      <c r="H17" s="6">
        <f>SUM(H4:H16)</f>
        <v>928000.5721645857</v>
      </c>
    </row>
    <row r="18" ht="4.5" customHeight="1"/>
    <row r="19" spans="1:8" ht="12.75">
      <c r="A19" s="25" t="s">
        <v>423</v>
      </c>
      <c r="B19" t="s">
        <v>407</v>
      </c>
      <c r="C19" t="s">
        <v>398</v>
      </c>
      <c r="D19" t="s">
        <v>278</v>
      </c>
      <c r="E19" s="6">
        <v>55496.49921466611</v>
      </c>
      <c r="F19" s="234">
        <v>0.23</v>
      </c>
      <c r="G19" s="6">
        <f>E19*F19</f>
        <v>12764.194819373206</v>
      </c>
      <c r="H19" s="6">
        <f>E19*(1-F19)</f>
        <v>42732.30439529291</v>
      </c>
    </row>
    <row r="20" spans="4:8" ht="12.75">
      <c r="D20" t="s">
        <v>373</v>
      </c>
      <c r="E20" s="6">
        <v>21255.952141896796</v>
      </c>
      <c r="F20" s="234">
        <v>0.23</v>
      </c>
      <c r="G20" s="6">
        <f>E20*F20</f>
        <v>4888.868992636263</v>
      </c>
      <c r="H20" s="6">
        <f>E20*(1-F20)</f>
        <v>16367.083149260534</v>
      </c>
    </row>
    <row r="21" spans="4:8" ht="12.75">
      <c r="D21" t="s">
        <v>279</v>
      </c>
      <c r="E21" s="6">
        <v>1296.5671590601783</v>
      </c>
      <c r="F21" s="234">
        <v>0.23</v>
      </c>
      <c r="G21" s="6">
        <f>E21*F21</f>
        <v>298.210446583841</v>
      </c>
      <c r="H21" s="6">
        <f>E21*(1-F21)</f>
        <v>998.3567124763373</v>
      </c>
    </row>
    <row r="22" spans="5:8" ht="12.75">
      <c r="E22" s="6"/>
      <c r="F22" s="6"/>
      <c r="G22" s="6"/>
      <c r="H22" s="6"/>
    </row>
    <row r="23" spans="2:8" ht="12.75">
      <c r="B23" t="s">
        <v>408</v>
      </c>
      <c r="C23" t="s">
        <v>398</v>
      </c>
      <c r="D23" t="s">
        <v>278</v>
      </c>
      <c r="E23" s="6">
        <v>11816.698088530382</v>
      </c>
      <c r="F23" s="234">
        <v>0.23</v>
      </c>
      <c r="G23" s="6">
        <f>E23*F23</f>
        <v>2717.840560361988</v>
      </c>
      <c r="H23" s="6">
        <f>E23*(1-F23)</f>
        <v>9098.857528168393</v>
      </c>
    </row>
    <row r="24" spans="4:8" ht="12.75">
      <c r="D24" t="s">
        <v>373</v>
      </c>
      <c r="E24" s="6">
        <v>417.997385412265</v>
      </c>
      <c r="F24" s="234">
        <v>0.23</v>
      </c>
      <c r="G24" s="6">
        <f>E24*F24</f>
        <v>96.13939864482094</v>
      </c>
      <c r="H24" s="6">
        <f>E24*(1-F24)</f>
        <v>321.85798676744406</v>
      </c>
    </row>
    <row r="25" spans="4:8" ht="12.75">
      <c r="D25" t="s">
        <v>279</v>
      </c>
      <c r="E25" s="6">
        <v>11036.391294057346</v>
      </c>
      <c r="F25" s="234">
        <v>0.23</v>
      </c>
      <c r="G25" s="6">
        <f>E25*F25</f>
        <v>2538.36999763319</v>
      </c>
      <c r="H25" s="6">
        <f>E25*(1-F25)</f>
        <v>8498.021296424156</v>
      </c>
    </row>
    <row r="26" spans="5:8" ht="12.75">
      <c r="E26" s="6"/>
      <c r="F26" s="6"/>
      <c r="G26" s="6"/>
      <c r="H26" s="6"/>
    </row>
    <row r="27" spans="2:8" ht="12.75">
      <c r="B27" t="s">
        <v>407</v>
      </c>
      <c r="C27" s="12" t="s">
        <v>49</v>
      </c>
      <c r="D27" t="s">
        <v>373</v>
      </c>
      <c r="E27" s="6">
        <v>2302.140551864476</v>
      </c>
      <c r="F27" s="234">
        <v>0.23</v>
      </c>
      <c r="G27" s="6">
        <f>E27*F27</f>
        <v>529.4923269288295</v>
      </c>
      <c r="H27" s="6">
        <f>E27*(1-F27)</f>
        <v>1772.6482249356466</v>
      </c>
    </row>
    <row r="28" spans="3:8" ht="12.75">
      <c r="C28" s="12" t="s">
        <v>661</v>
      </c>
      <c r="D28" t="s">
        <v>279</v>
      </c>
      <c r="E28" s="6">
        <v>0</v>
      </c>
      <c r="F28" s="234">
        <v>0.23</v>
      </c>
      <c r="G28" s="6">
        <f>E28*F28</f>
        <v>0</v>
      </c>
      <c r="H28" s="6">
        <f>E28*(1-F28)</f>
        <v>0</v>
      </c>
    </row>
    <row r="29" spans="5:8" ht="12.75">
      <c r="E29" s="6"/>
      <c r="F29" s="234"/>
      <c r="G29" s="6"/>
      <c r="H29" s="6"/>
    </row>
    <row r="30" spans="2:8" ht="12.75">
      <c r="B30" t="s">
        <v>400</v>
      </c>
      <c r="C30" s="12" t="s">
        <v>49</v>
      </c>
      <c r="D30" t="s">
        <v>373</v>
      </c>
      <c r="E30" s="6">
        <v>379.39923970028184</v>
      </c>
      <c r="F30" s="234">
        <v>0.23</v>
      </c>
      <c r="G30" s="6">
        <f>E30*F30</f>
        <v>87.26182513106482</v>
      </c>
      <c r="H30" s="6">
        <f>E30*(1-F30)</f>
        <v>292.137414569217</v>
      </c>
    </row>
    <row r="31" spans="2:8" ht="12.75">
      <c r="B31" s="283"/>
      <c r="C31" s="325" t="s">
        <v>49</v>
      </c>
      <c r="D31" s="283" t="s">
        <v>279</v>
      </c>
      <c r="E31" s="10">
        <v>2227.9305321282277</v>
      </c>
      <c r="F31" s="448">
        <v>0.23</v>
      </c>
      <c r="G31" s="10">
        <f>E31*F31</f>
        <v>512.4240223894924</v>
      </c>
      <c r="H31" s="10">
        <f>E31*(1-F31)</f>
        <v>1715.5065097387353</v>
      </c>
    </row>
    <row r="32" spans="4:8" ht="12.75">
      <c r="D32" s="447" t="s">
        <v>405</v>
      </c>
      <c r="E32" s="6">
        <f>SUM(E19:E31)</f>
        <v>106229.57560731607</v>
      </c>
      <c r="F32" s="6"/>
      <c r="G32" s="6">
        <f>SUM(G19:G31)</f>
        <v>24432.802389682693</v>
      </c>
      <c r="H32" s="6">
        <f>SUM(H19:H31)</f>
        <v>81796.77321763337</v>
      </c>
    </row>
    <row r="33" ht="4.5" customHeight="1"/>
    <row r="34" spans="1:8" ht="12.75">
      <c r="A34" s="25" t="s">
        <v>424</v>
      </c>
      <c r="B34" t="s">
        <v>407</v>
      </c>
      <c r="C34" s="12" t="s">
        <v>409</v>
      </c>
      <c r="D34" t="s">
        <v>373</v>
      </c>
      <c r="E34" s="6">
        <v>842929.6369611984</v>
      </c>
      <c r="F34" s="234">
        <v>0.4</v>
      </c>
      <c r="G34" s="6">
        <f>E34*F34</f>
        <v>337171.85478447936</v>
      </c>
      <c r="H34" s="6">
        <f>E34*(1-F34)</f>
        <v>505757.78217671905</v>
      </c>
    </row>
    <row r="35" spans="5:8" ht="12.75">
      <c r="E35" s="6"/>
      <c r="F35" s="6"/>
      <c r="G35" s="6"/>
      <c r="H35" s="6"/>
    </row>
    <row r="36" spans="2:8" ht="12.75">
      <c r="B36" t="s">
        <v>400</v>
      </c>
      <c r="C36" t="s">
        <v>409</v>
      </c>
      <c r="D36" t="s">
        <v>373</v>
      </c>
      <c r="E36" s="6">
        <v>81045.64043247585</v>
      </c>
      <c r="F36" s="234">
        <v>0.4</v>
      </c>
      <c r="G36" s="6">
        <f>E36*F36</f>
        <v>32418.25617299034</v>
      </c>
      <c r="H36" s="6">
        <f>E36*(1-F36)</f>
        <v>48627.38425948551</v>
      </c>
    </row>
    <row r="37" spans="2:8" ht="12.75">
      <c r="B37" s="283"/>
      <c r="C37" s="283"/>
      <c r="D37" s="283" t="s">
        <v>279</v>
      </c>
      <c r="E37" s="10">
        <v>286561.6744125332</v>
      </c>
      <c r="F37" s="448">
        <v>0.4</v>
      </c>
      <c r="G37" s="10">
        <f>E37*F37</f>
        <v>114624.66976501327</v>
      </c>
      <c r="H37" s="10">
        <f>E37*(1-F37)</f>
        <v>171937.0046475199</v>
      </c>
    </row>
    <row r="38" spans="4:8" ht="12.75">
      <c r="D38" s="447" t="s">
        <v>413</v>
      </c>
      <c r="E38" s="6">
        <f>SUM(E34:E37)</f>
        <v>1210536.9518062074</v>
      </c>
      <c r="F38" s="6"/>
      <c r="G38" s="6">
        <f>SUM(G34:G37)</f>
        <v>484214.78072248294</v>
      </c>
      <c r="H38" s="6">
        <f>SUM(H34:H37)</f>
        <v>726322.1710837245</v>
      </c>
    </row>
    <row r="39" spans="4:8" ht="4.5" customHeight="1">
      <c r="D39" s="447"/>
      <c r="E39" s="6"/>
      <c r="F39" s="6"/>
      <c r="G39" s="6"/>
      <c r="H39" s="6"/>
    </row>
    <row r="40" spans="4:8" ht="12.75">
      <c r="D40" s="447" t="s">
        <v>428</v>
      </c>
      <c r="E40" s="6">
        <f>SUM(E17,E32,E38)</f>
        <v>2863434.147687833</v>
      </c>
      <c r="F40" s="6"/>
      <c r="G40" s="6">
        <f>SUM(G17,G32,G38)</f>
        <v>1127314.6312218895</v>
      </c>
      <c r="H40" s="6">
        <f>SUM(H17,H32,H38)</f>
        <v>1736119.5164659435</v>
      </c>
    </row>
    <row r="41" spans="4:8" ht="4.5" customHeight="1">
      <c r="D41" s="447"/>
      <c r="E41" s="6"/>
      <c r="F41" s="6"/>
      <c r="G41" s="6"/>
      <c r="H41" s="6"/>
    </row>
    <row r="42" spans="4:8" ht="12.75">
      <c r="D42" s="12" t="s">
        <v>418</v>
      </c>
      <c r="E42" s="6"/>
      <c r="F42" s="6"/>
      <c r="G42" s="6"/>
      <c r="H42" s="6"/>
    </row>
    <row r="43" spans="4:8" ht="12.75">
      <c r="D43" s="14" t="s">
        <v>425</v>
      </c>
      <c r="E43" s="6"/>
      <c r="F43" s="6"/>
      <c r="G43" s="6"/>
      <c r="H43" s="6">
        <v>35941.744</v>
      </c>
    </row>
    <row r="44" spans="4:8" ht="12.75">
      <c r="D44" s="451" t="s">
        <v>426</v>
      </c>
      <c r="E44" s="10"/>
      <c r="F44" s="10"/>
      <c r="G44" s="10"/>
      <c r="H44" s="10">
        <v>13818.17281082412</v>
      </c>
    </row>
    <row r="45" spans="4:8" ht="12.75">
      <c r="D45" s="447" t="s">
        <v>427</v>
      </c>
      <c r="E45" s="6"/>
      <c r="F45" s="6"/>
      <c r="G45" s="6"/>
      <c r="H45" s="6">
        <f>SUM(H43:H44)</f>
        <v>49759.91681082412</v>
      </c>
    </row>
    <row r="46" spans="4:8" ht="4.5" customHeight="1">
      <c r="D46" s="447"/>
      <c r="E46" s="6"/>
      <c r="F46" s="6"/>
      <c r="G46" s="6"/>
      <c r="H46" s="6"/>
    </row>
    <row r="47" spans="4:8" ht="12.75">
      <c r="D47" s="459" t="s">
        <v>429</v>
      </c>
      <c r="E47" s="6">
        <f>E40+E45</f>
        <v>2863434.147687833</v>
      </c>
      <c r="F47" s="6"/>
      <c r="G47" s="6">
        <f>G40+G45</f>
        <v>1127314.6312218895</v>
      </c>
      <c r="H47" s="6">
        <f>H40+H45</f>
        <v>1785879.4332767676</v>
      </c>
    </row>
    <row r="48" spans="4:8" ht="12.75" hidden="1">
      <c r="D48" s="447"/>
      <c r="E48" s="6"/>
      <c r="F48" s="6"/>
      <c r="G48" s="6"/>
      <c r="H48" s="6"/>
    </row>
    <row r="49" spans="4:8" ht="12.75" hidden="1">
      <c r="D49" s="447" t="s">
        <v>191</v>
      </c>
      <c r="E49" s="143">
        <v>0</v>
      </c>
      <c r="F49" s="240"/>
      <c r="G49" s="143">
        <v>0</v>
      </c>
      <c r="H49" s="143">
        <v>0</v>
      </c>
    </row>
    <row r="50" spans="4:8" ht="12.75" hidden="1">
      <c r="D50" s="447"/>
      <c r="E50" s="143">
        <v>0</v>
      </c>
      <c r="F50" s="240"/>
      <c r="G50" s="143">
        <v>0</v>
      </c>
      <c r="H50" s="143">
        <v>0</v>
      </c>
    </row>
    <row r="51" spans="4:8" ht="12.75" hidden="1">
      <c r="D51" s="447"/>
      <c r="E51" s="143">
        <v>0</v>
      </c>
      <c r="F51" s="240"/>
      <c r="G51" s="143">
        <v>0</v>
      </c>
      <c r="H51" s="143">
        <v>0</v>
      </c>
    </row>
    <row r="52" spans="4:8" ht="12.75" hidden="1">
      <c r="D52" s="447"/>
      <c r="E52" s="6"/>
      <c r="F52" s="6"/>
      <c r="G52" s="6"/>
      <c r="H52" s="143">
        <v>0</v>
      </c>
    </row>
    <row r="53" spans="1:8" ht="12.75">
      <c r="A53" s="141"/>
      <c r="B53" s="283"/>
      <c r="C53" s="293"/>
      <c r="D53" s="293"/>
      <c r="E53" s="293"/>
      <c r="F53" s="38"/>
      <c r="G53" s="38"/>
      <c r="H53" s="38"/>
    </row>
    <row r="54" spans="1:8" ht="12.75">
      <c r="A54" s="11" t="s">
        <v>235</v>
      </c>
      <c r="C54" s="64"/>
      <c r="D54" s="64"/>
      <c r="E54" s="64"/>
      <c r="F54" s="64"/>
      <c r="G54" s="64"/>
      <c r="H54" s="64"/>
    </row>
    <row r="55" spans="1:8" ht="12.75">
      <c r="A55" s="25" t="s">
        <v>811</v>
      </c>
      <c r="C55" s="64"/>
      <c r="D55" s="64"/>
      <c r="E55" s="64"/>
      <c r="F55" s="64"/>
      <c r="G55" s="64"/>
      <c r="H55" s="64"/>
    </row>
    <row r="56" ht="12.75">
      <c r="A56" s="25" t="s">
        <v>430</v>
      </c>
    </row>
    <row r="57" ht="12.75">
      <c r="A57" s="25" t="s">
        <v>50</v>
      </c>
    </row>
    <row r="58" ht="12.75">
      <c r="A58" s="25" t="s">
        <v>659</v>
      </c>
    </row>
    <row r="59" ht="12.75">
      <c r="A59" s="25" t="s">
        <v>38</v>
      </c>
    </row>
    <row r="60" ht="12.75">
      <c r="A60" s="25" t="s">
        <v>662</v>
      </c>
    </row>
  </sheetData>
  <sheetProtection/>
  <printOptions horizontalCentered="1"/>
  <pageMargins left="0.75" right="0.75" top="1" bottom="1" header="0.5" footer="0.5"/>
  <pageSetup fitToHeight="1" fitToWidth="1" horizontalDpi="600" verticalDpi="600" orientation="landscape" scale="69"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Q5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547</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7" ht="12.75" customHeight="1">
      <c r="A6" s="353" t="s">
        <v>524</v>
      </c>
      <c r="B6" s="32">
        <f>'Table 3.3-PARS Fwd Summary'!B10</f>
        <v>633726.1386000001</v>
      </c>
      <c r="C6" s="241"/>
      <c r="D6" s="488">
        <f>F6/B6</f>
        <v>0.1141860670427585</v>
      </c>
      <c r="E6" s="27"/>
      <c r="F6" s="494">
        <f>'Table 3.3-PARS Fwd Summary'!F10</f>
        <v>72362.69534892807</v>
      </c>
      <c r="G6" s="241"/>
      <c r="H6" s="134">
        <f>B6/$B$34</f>
        <v>0.8090745780047193</v>
      </c>
      <c r="I6" s="27"/>
      <c r="J6" s="500">
        <f>D6*H6</f>
        <v>0.09238504400663841</v>
      </c>
      <c r="M6" s="27"/>
      <c r="N6" s="27"/>
      <c r="O6" s="27"/>
      <c r="P6" s="27"/>
      <c r="Q6" s="27"/>
    </row>
    <row r="7" spans="1:10" ht="12.75" customHeight="1">
      <c r="A7" s="353" t="s">
        <v>525</v>
      </c>
      <c r="B7" s="32">
        <f>'Table 3.3-PARS Fwd Summary'!B20</f>
        <v>70414.01539999999</v>
      </c>
      <c r="C7" s="241"/>
      <c r="D7" s="488">
        <f>F7/B7</f>
        <v>0.18678072149524408</v>
      </c>
      <c r="E7" s="27"/>
      <c r="F7" s="494">
        <f>'Table 3.3-PARS Fwd Summary'!F20</f>
        <v>13151.980599789225</v>
      </c>
      <c r="G7" s="241"/>
      <c r="H7" s="134">
        <f>B7/$B$34</f>
        <v>0.08989717533385767</v>
      </c>
      <c r="I7" s="27"/>
      <c r="J7" s="500">
        <f>D7*H7</f>
        <v>0.016791059269242396</v>
      </c>
    </row>
    <row r="8" spans="1:10" ht="12.75" customHeight="1">
      <c r="A8" s="353" t="s">
        <v>102</v>
      </c>
      <c r="B8" s="32">
        <f>SUM(B6:B7)</f>
        <v>704140.1540000001</v>
      </c>
      <c r="C8" s="27"/>
      <c r="D8" s="488">
        <f>F8/B8</f>
        <v>0.12144553248800705</v>
      </c>
      <c r="E8" s="27"/>
      <c r="F8" s="494">
        <f>SUM(F6:F7)</f>
        <v>85514.6759487173</v>
      </c>
      <c r="G8" s="27"/>
      <c r="H8" s="134">
        <f>B8/$B$34</f>
        <v>0.8989717533385769</v>
      </c>
      <c r="I8" s="27"/>
      <c r="J8" s="500">
        <f>SUM(J6:J7)</f>
        <v>0.10917610327588081</v>
      </c>
    </row>
    <row r="9" spans="1:10" ht="4.5" customHeight="1">
      <c r="A9" s="353"/>
      <c r="B9" s="32"/>
      <c r="C9" s="27"/>
      <c r="D9" s="27"/>
      <c r="E9" s="27"/>
      <c r="F9" s="494"/>
      <c r="G9" s="27"/>
      <c r="H9" s="486"/>
      <c r="I9" s="27"/>
      <c r="J9" s="500"/>
    </row>
    <row r="10" spans="1:10" ht="12.75" customHeight="1">
      <c r="A10" s="353" t="s">
        <v>517</v>
      </c>
      <c r="B10" s="32"/>
      <c r="C10" s="27"/>
      <c r="D10" s="27"/>
      <c r="E10" s="27"/>
      <c r="F10" s="494"/>
      <c r="G10" s="27"/>
      <c r="H10" s="486"/>
      <c r="I10" s="27"/>
      <c r="J10" s="500"/>
    </row>
    <row r="11" spans="1:10" ht="12.75" customHeight="1">
      <c r="A11" s="501" t="s">
        <v>320</v>
      </c>
      <c r="B11" s="32">
        <f>'Table 3.3-PARS Fwd Summary'!B23</f>
        <v>704140.1540000001</v>
      </c>
      <c r="C11" s="241"/>
      <c r="D11" s="488">
        <f>F11/B11</f>
        <v>0.09688568370462315</v>
      </c>
      <c r="E11" s="27"/>
      <c r="F11" s="494">
        <f>'Table 3.3-PARS Fwd Summary'!F23</f>
        <v>68221.10024416864</v>
      </c>
      <c r="G11" s="241"/>
      <c r="H11" s="134">
        <f>B11/$B$34</f>
        <v>0.8989717533385769</v>
      </c>
      <c r="I11" s="27"/>
      <c r="J11" s="500">
        <f>D11*H11</f>
        <v>0.08709749295335187</v>
      </c>
    </row>
    <row r="12" spans="1:10" ht="12.75" customHeight="1">
      <c r="A12" s="501" t="s">
        <v>99</v>
      </c>
      <c r="B12" s="32">
        <f>'Table 3.3-PARS Fwd Summary'!B24</f>
        <v>0</v>
      </c>
      <c r="C12" s="241"/>
      <c r="D12" s="488">
        <v>0</v>
      </c>
      <c r="E12" s="27"/>
      <c r="F12" s="494">
        <f>'Table 3.3-PARS Fwd Summary'!F24</f>
        <v>0</v>
      </c>
      <c r="G12" s="27"/>
      <c r="H12" s="134">
        <f>B12/$B$34</f>
        <v>0</v>
      </c>
      <c r="I12" s="27"/>
      <c r="J12" s="500">
        <f>D12*H12</f>
        <v>0</v>
      </c>
    </row>
    <row r="13" spans="1:10" ht="12.75" customHeight="1">
      <c r="A13" s="501" t="s">
        <v>100</v>
      </c>
      <c r="B13" s="32">
        <f>'Table 3.3-PARS Fwd Summary'!B25</f>
        <v>0</v>
      </c>
      <c r="C13" s="27"/>
      <c r="D13" s="488">
        <v>0</v>
      </c>
      <c r="E13" s="27"/>
      <c r="F13" s="494">
        <f>'Table 3.3-PARS Fwd Summary'!F25</f>
        <v>0</v>
      </c>
      <c r="G13" s="27"/>
      <c r="H13" s="134">
        <f>B13/$B$34</f>
        <v>0</v>
      </c>
      <c r="I13" s="27"/>
      <c r="J13" s="500">
        <f>D13*H13</f>
        <v>0</v>
      </c>
    </row>
    <row r="14" spans="1:10" ht="12.75" customHeight="1">
      <c r="A14" s="502" t="s">
        <v>210</v>
      </c>
      <c r="B14" s="32">
        <f>'Table 3.3-PARS Fwd Summary'!B26</f>
        <v>0</v>
      </c>
      <c r="C14" s="27"/>
      <c r="D14" s="488">
        <v>0</v>
      </c>
      <c r="E14" s="27"/>
      <c r="F14" s="494">
        <f>'Table 3.3-PARS Fwd Summary'!F26</f>
        <v>0</v>
      </c>
      <c r="G14" s="27"/>
      <c r="H14" s="134">
        <f>B14/$B$34</f>
        <v>0</v>
      </c>
      <c r="I14" s="27"/>
      <c r="J14" s="500">
        <f>D14*H14</f>
        <v>0</v>
      </c>
    </row>
    <row r="15" spans="1:10" ht="12.75" customHeight="1">
      <c r="A15" s="503" t="s">
        <v>102</v>
      </c>
      <c r="B15" s="32">
        <f>B11</f>
        <v>704140.1540000001</v>
      </c>
      <c r="C15" s="27"/>
      <c r="D15" s="488">
        <f>F15/B15</f>
        <v>0.09688568370462315</v>
      </c>
      <c r="E15" s="27"/>
      <c r="F15" s="494">
        <f>SUM(F11:F14)</f>
        <v>68221.10024416864</v>
      </c>
      <c r="G15" s="27"/>
      <c r="H15" s="134">
        <f>B15/$B$34</f>
        <v>0.8989717533385769</v>
      </c>
      <c r="I15" s="27"/>
      <c r="J15" s="500">
        <f>SUM(J11:J14)</f>
        <v>0.08709749295335187</v>
      </c>
    </row>
    <row r="16" spans="1:10" ht="4.5" customHeight="1">
      <c r="A16" s="353"/>
      <c r="B16" s="32"/>
      <c r="C16" s="27"/>
      <c r="D16" s="27"/>
      <c r="E16" s="27"/>
      <c r="F16" s="494"/>
      <c r="G16" s="27"/>
      <c r="H16" s="486"/>
      <c r="I16" s="27"/>
      <c r="J16" s="500"/>
    </row>
    <row r="17" spans="1:10" ht="12.75" customHeight="1">
      <c r="A17" s="353" t="s">
        <v>504</v>
      </c>
      <c r="B17" s="32">
        <f>B8</f>
        <v>704140.1540000001</v>
      </c>
      <c r="C17" s="27"/>
      <c r="D17" s="488">
        <f>F17/B17</f>
        <v>0.21833121619263018</v>
      </c>
      <c r="E17" s="27"/>
      <c r="F17" s="494">
        <f>SUM(F8,F15)</f>
        <v>153735.77619288594</v>
      </c>
      <c r="G17" s="27"/>
      <c r="H17" s="134">
        <f>B17/$B$34</f>
        <v>0.8989717533385769</v>
      </c>
      <c r="I17" s="27"/>
      <c r="J17" s="500">
        <f>J8+J15</f>
        <v>0.19627359622923268</v>
      </c>
    </row>
    <row r="18" spans="1:10" ht="12.75" customHeight="1">
      <c r="A18" s="241"/>
      <c r="B18" s="32"/>
      <c r="C18" s="27"/>
      <c r="D18" s="27"/>
      <c r="E18" s="27"/>
      <c r="F18" s="494"/>
      <c r="G18" s="27"/>
      <c r="H18" s="486"/>
      <c r="I18" s="27"/>
      <c r="J18" s="500"/>
    </row>
    <row r="19" spans="1:10" ht="12.75" customHeight="1">
      <c r="A19" s="333" t="s">
        <v>479</v>
      </c>
      <c r="B19" s="32"/>
      <c r="C19" s="27"/>
      <c r="D19" s="488"/>
      <c r="E19" s="27"/>
      <c r="F19" s="494"/>
      <c r="G19" s="27"/>
      <c r="H19" s="486"/>
      <c r="I19" s="27"/>
      <c r="J19" s="500"/>
    </row>
    <row r="20" spans="1:10" ht="12.75" customHeight="1">
      <c r="A20" s="353" t="s">
        <v>526</v>
      </c>
      <c r="B20" s="32">
        <f>'Table 3.4-NonPARS Fwd Summary'!B8</f>
        <v>42984.2265111203</v>
      </c>
      <c r="C20" s="27"/>
      <c r="D20" s="488">
        <f>F20/B20</f>
        <v>0.22584841882096532</v>
      </c>
      <c r="E20" s="27"/>
      <c r="F20" s="494">
        <f>'Table 3.4-NonPARS Fwd Summary'!F8</f>
        <v>9707.919591778738</v>
      </c>
      <c r="G20" s="27"/>
      <c r="H20" s="134">
        <f>B20/$B$34</f>
        <v>0.05487771894997534</v>
      </c>
      <c r="I20" s="27"/>
      <c r="J20" s="500">
        <f>D20*H20</f>
        <v>0.012394046053353256</v>
      </c>
    </row>
    <row r="21" spans="1:10" ht="12.75" customHeight="1">
      <c r="A21" s="353" t="s">
        <v>527</v>
      </c>
      <c r="B21" s="32">
        <f>'Table 3.4-NonPARS Fwd Summary'!B14</f>
        <v>36148.45468640775</v>
      </c>
      <c r="C21" s="27"/>
      <c r="D21" s="488">
        <f>F21/B21</f>
        <v>0.3749115837189679</v>
      </c>
      <c r="E21" s="27"/>
      <c r="F21" s="494">
        <f>'Table 3.4-NonPARS Fwd Summary'!F14</f>
        <v>13552.474395474475</v>
      </c>
      <c r="G21" s="27"/>
      <c r="H21" s="134">
        <f>B21/$B$34</f>
        <v>0.046150527711447724</v>
      </c>
      <c r="I21" s="27"/>
      <c r="J21" s="500">
        <f>D21*H21</f>
        <v>0.01730236743376498</v>
      </c>
    </row>
    <row r="22" spans="1:10" ht="12.75" customHeight="1">
      <c r="A22" s="353" t="s">
        <v>102</v>
      </c>
      <c r="B22" s="32">
        <f>SUM(B20:B21)</f>
        <v>79132.68119752806</v>
      </c>
      <c r="C22" s="27"/>
      <c r="D22" s="488">
        <f>F22/B22</f>
        <v>0.2939416892647866</v>
      </c>
      <c r="E22" s="27"/>
      <c r="F22" s="494">
        <f>SUM(F20:F21)</f>
        <v>23260.393987253214</v>
      </c>
      <c r="G22" s="27"/>
      <c r="H22" s="134">
        <f>B22/$B$34</f>
        <v>0.10102824666142307</v>
      </c>
      <c r="I22" s="27"/>
      <c r="J22" s="500">
        <f>SUM(J20:J21)</f>
        <v>0.02969641348711824</v>
      </c>
    </row>
    <row r="23" spans="1:10" ht="4.5" customHeight="1">
      <c r="A23" s="353"/>
      <c r="B23" s="32"/>
      <c r="C23" s="27"/>
      <c r="D23" s="488"/>
      <c r="E23" s="27"/>
      <c r="F23" s="494"/>
      <c r="G23" s="27"/>
      <c r="H23" s="486"/>
      <c r="I23" s="27"/>
      <c r="J23" s="500"/>
    </row>
    <row r="24" spans="1:10" ht="12.75" customHeight="1">
      <c r="A24" s="353" t="s">
        <v>517</v>
      </c>
      <c r="B24" s="32"/>
      <c r="C24" s="27"/>
      <c r="D24" s="488"/>
      <c r="E24" s="27"/>
      <c r="F24" s="494"/>
      <c r="G24" s="27"/>
      <c r="H24" s="486"/>
      <c r="I24" s="27"/>
      <c r="J24" s="500"/>
    </row>
    <row r="25" spans="1:10" ht="12.75" customHeight="1">
      <c r="A25" s="501" t="s">
        <v>320</v>
      </c>
      <c r="B25" s="32">
        <f>'Table 3.4-NonPARS Fwd Summary'!B17</f>
        <v>79132.68119752806</v>
      </c>
      <c r="C25" s="27"/>
      <c r="D25" s="488">
        <f aca="true" t="shared" si="0" ref="D25:D30">F25/B25</f>
        <v>0.38448031328531096</v>
      </c>
      <c r="E25" s="27"/>
      <c r="F25" s="494">
        <f>'Table 3.4-NonPARS Fwd Summary'!F17</f>
        <v>30424.958057932225</v>
      </c>
      <c r="G25" s="27"/>
      <c r="H25" s="134">
        <f aca="true" t="shared" si="1" ref="H25:H30">B25/$B$34</f>
        <v>0.10102824666142307</v>
      </c>
      <c r="I25" s="27"/>
      <c r="J25" s="500">
        <f>D25*H25</f>
        <v>0.03884337192704961</v>
      </c>
    </row>
    <row r="26" spans="1:10" ht="12.75" customHeight="1">
      <c r="A26" s="501" t="s">
        <v>99</v>
      </c>
      <c r="B26" s="32">
        <f>'Table 3.4-NonPARS Fwd Summary'!B18</f>
        <v>1310.8845901018763</v>
      </c>
      <c r="C26" s="27"/>
      <c r="D26" s="488">
        <f t="shared" si="0"/>
        <v>2.327113758990404</v>
      </c>
      <c r="E26" s="27"/>
      <c r="F26" s="494">
        <f>'Table 3.4-NonPARS Fwd Summary'!F18</f>
        <v>3050.577566074572</v>
      </c>
      <c r="G26" s="27"/>
      <c r="H26" s="134">
        <f t="shared" si="1"/>
        <v>0.00167359894432097</v>
      </c>
      <c r="I26" s="27"/>
      <c r="J26" s="500">
        <f>D26*H26</f>
        <v>0.0038946551303611445</v>
      </c>
    </row>
    <row r="27" spans="1:10" ht="12.75" customHeight="1">
      <c r="A27" s="501" t="s">
        <v>100</v>
      </c>
      <c r="B27" s="32">
        <f>'Table 3.4-NonPARS Fwd Summary'!B19</f>
        <v>971.0954346688156</v>
      </c>
      <c r="C27" s="27"/>
      <c r="D27" s="488">
        <f t="shared" si="0"/>
        <v>0.8875724776281855</v>
      </c>
      <c r="E27" s="27"/>
      <c r="F27" s="494">
        <f>'Table 3.4-NonPARS Fwd Summary'!F19</f>
        <v>861.9175809624204</v>
      </c>
      <c r="G27" s="27"/>
      <c r="H27" s="134">
        <f t="shared" si="1"/>
        <v>0.0012397920507787325</v>
      </c>
      <c r="I27" s="27"/>
      <c r="J27" s="500">
        <f>D27*H27</f>
        <v>0.0011004053022534088</v>
      </c>
    </row>
    <row r="28" spans="1:10" ht="12.75" customHeight="1">
      <c r="A28" s="502" t="s">
        <v>210</v>
      </c>
      <c r="B28" s="32">
        <f>'Table 3.4-NonPARS Fwd Summary'!B20</f>
        <v>339.78915543306067</v>
      </c>
      <c r="C28" s="27"/>
      <c r="D28" s="488">
        <f t="shared" si="0"/>
        <v>0.4736101324003773</v>
      </c>
      <c r="E28" s="27"/>
      <c r="F28" s="494">
        <f>'Table 3.4-NonPARS Fwd Summary'!F20</f>
        <v>160.92758689286424</v>
      </c>
      <c r="G28" s="27"/>
      <c r="H28" s="134">
        <f t="shared" si="1"/>
        <v>0.00043380689354223756</v>
      </c>
      <c r="I28" s="27"/>
      <c r="J28" s="500">
        <f>D28*H28</f>
        <v>0.0002054553402867355</v>
      </c>
    </row>
    <row r="29" spans="1:10" ht="12.75" customHeight="1">
      <c r="A29" s="502" t="s">
        <v>101</v>
      </c>
      <c r="B29" s="32">
        <f>'Table 3.4-NonPARS Fwd Summary'!B21</f>
        <v>804.428063476751</v>
      </c>
      <c r="C29" s="27"/>
      <c r="D29" s="488">
        <f t="shared" si="0"/>
        <v>4.326964613536528</v>
      </c>
      <c r="E29" s="27"/>
      <c r="F29" s="494">
        <f>'Table 3.4-NonPARS Fwd Summary'!F21</f>
        <v>3480.7317647996174</v>
      </c>
      <c r="G29" s="27"/>
      <c r="H29" s="134">
        <f t="shared" si="1"/>
        <v>0.0010270087603304766</v>
      </c>
      <c r="I29" s="27"/>
      <c r="J29" s="500">
        <f>D29*H29</f>
        <v>0.004443830563741989</v>
      </c>
    </row>
    <row r="30" spans="1:10" ht="12.75" customHeight="1">
      <c r="A30" s="503" t="s">
        <v>102</v>
      </c>
      <c r="B30" s="32">
        <f>B25</f>
        <v>79132.68119752806</v>
      </c>
      <c r="C30" s="27"/>
      <c r="D30" s="488">
        <f t="shared" si="0"/>
        <v>0.47994219306002855</v>
      </c>
      <c r="E30" s="27"/>
      <c r="F30" s="494">
        <f>SUM(F25:F29)</f>
        <v>37979.112556661705</v>
      </c>
      <c r="G30" s="27"/>
      <c r="H30" s="134">
        <f t="shared" si="1"/>
        <v>0.10102824666142307</v>
      </c>
      <c r="I30" s="27"/>
      <c r="J30" s="500">
        <f>SUM(J25:J29)</f>
        <v>0.048487718263692886</v>
      </c>
    </row>
    <row r="31" spans="1:10" ht="4.5" customHeight="1">
      <c r="A31" s="353"/>
      <c r="B31" s="32"/>
      <c r="C31" s="27"/>
      <c r="D31" s="488"/>
      <c r="E31" s="27"/>
      <c r="F31" s="494"/>
      <c r="G31" s="27"/>
      <c r="H31" s="486"/>
      <c r="I31" s="27"/>
      <c r="J31" s="500"/>
    </row>
    <row r="32" spans="1:10" ht="12.75" customHeight="1">
      <c r="A32" s="239" t="s">
        <v>494</v>
      </c>
      <c r="B32" s="32">
        <f>B22</f>
        <v>79132.68119752806</v>
      </c>
      <c r="C32" s="27"/>
      <c r="D32" s="488">
        <f>F32/B32</f>
        <v>0.7738838823248152</v>
      </c>
      <c r="E32" s="27"/>
      <c r="F32" s="494">
        <f>SUM(F22,F30)</f>
        <v>61239.50654391492</v>
      </c>
      <c r="G32" s="27"/>
      <c r="H32" s="134">
        <f>B32/$B$34</f>
        <v>0.10102824666142307</v>
      </c>
      <c r="I32" s="27"/>
      <c r="J32" s="500">
        <f>J22+J30</f>
        <v>0.07818413175081113</v>
      </c>
    </row>
    <row r="33" spans="1:10" ht="12.75" customHeight="1">
      <c r="A33" s="353"/>
      <c r="B33" s="32"/>
      <c r="C33" s="27"/>
      <c r="D33" s="488"/>
      <c r="E33" s="27"/>
      <c r="F33" s="494"/>
      <c r="G33" s="27"/>
      <c r="H33" s="486"/>
      <c r="I33" s="27"/>
      <c r="J33" s="500"/>
    </row>
    <row r="34" spans="1:10" ht="12.75" customHeight="1">
      <c r="A34" s="480" t="s">
        <v>269</v>
      </c>
      <c r="B34" s="505">
        <f>SUM(B17,B32)</f>
        <v>783272.8351975281</v>
      </c>
      <c r="C34" s="506"/>
      <c r="D34" s="507"/>
      <c r="E34" s="506"/>
      <c r="F34" s="511">
        <f>SUM(F17,F32)</f>
        <v>214975.28273680084</v>
      </c>
      <c r="G34" s="506"/>
      <c r="H34" s="509"/>
      <c r="I34" s="506"/>
      <c r="J34" s="507">
        <f>SUM(J17,J32)</f>
        <v>0.2744577279800438</v>
      </c>
    </row>
    <row r="35" spans="1:10" ht="12.75" customHeight="1" hidden="1">
      <c r="A35" s="491"/>
      <c r="B35" s="32"/>
      <c r="C35" s="27"/>
      <c r="D35" s="27"/>
      <c r="E35" s="27"/>
      <c r="F35" s="27"/>
      <c r="G35" s="27"/>
      <c r="H35" s="27"/>
      <c r="I35" s="27"/>
      <c r="J35" s="27"/>
    </row>
    <row r="36" spans="1:10" ht="12.75" customHeight="1" hidden="1">
      <c r="A36" s="491"/>
      <c r="B36" s="492"/>
      <c r="C36" s="151"/>
      <c r="D36" s="151"/>
      <c r="E36" s="151"/>
      <c r="F36" s="485"/>
      <c r="G36" s="151"/>
      <c r="H36" s="486"/>
      <c r="I36" s="151"/>
      <c r="J36" s="151"/>
    </row>
    <row r="37" spans="1:11" ht="12.75" customHeight="1" hidden="1">
      <c r="A37" s="14" t="s">
        <v>191</v>
      </c>
      <c r="B37" s="143">
        <v>0</v>
      </c>
      <c r="C37" s="151"/>
      <c r="D37" s="492"/>
      <c r="E37" s="151"/>
      <c r="F37" s="485"/>
      <c r="G37" s="482" t="s">
        <v>311</v>
      </c>
      <c r="H37" s="504">
        <f>SUM('Table 3.14-Route UAA'!J102,'Table 3.14-Route UAA'!J106)</f>
        <v>12077.542907974595</v>
      </c>
      <c r="I37" s="151"/>
      <c r="J37" s="492">
        <f>'Table 3.3-PARS Fwd Summary'!J32+'Table 3.4-NonPARS Fwd Summary'!J27</f>
        <v>12077.542907974594</v>
      </c>
      <c r="K37" s="143">
        <f aca="true" t="shared" si="2" ref="K37:K44">H37-J37</f>
        <v>0</v>
      </c>
    </row>
    <row r="38" spans="1:11" ht="12.75" customHeight="1" hidden="1">
      <c r="A38" s="487"/>
      <c r="B38" s="143">
        <v>0</v>
      </c>
      <c r="C38" s="27"/>
      <c r="D38" s="488"/>
      <c r="E38" s="27"/>
      <c r="F38" s="485"/>
      <c r="G38" s="46" t="s">
        <v>312</v>
      </c>
      <c r="H38" s="504">
        <f>SUM('Table 3.18-Nixie UAA'!I6,'Table 3.18-Nixie UAA'!I15,'Table 3.18-Nixie UAA'!I24)+SUM('Table 3.31-Rating Post Due'!H7,'Table 3.31-Rating Post Due'!H12,'Table 3.31-Rating Post Due'!H20)</f>
        <v>5975.983247867031</v>
      </c>
      <c r="I38" s="151"/>
      <c r="J38" s="492">
        <f>'Table 3.3-PARS Fwd Summary'!J33+'Table 3.4-NonPARS Fwd Summary'!J28</f>
        <v>5975.983247867031</v>
      </c>
      <c r="K38" s="143">
        <f t="shared" si="2"/>
        <v>0</v>
      </c>
    </row>
    <row r="39" spans="1:11" ht="12.75" customHeight="1" hidden="1">
      <c r="A39" s="487"/>
      <c r="B39" s="143">
        <v>0</v>
      </c>
      <c r="C39" s="27"/>
      <c r="D39" s="488"/>
      <c r="E39" s="27"/>
      <c r="F39" s="485"/>
      <c r="G39" s="46" t="s">
        <v>313</v>
      </c>
      <c r="H39" s="504">
        <f>SUM('Table 3.20-CFS Non-CIOSS'!H9,'Table 3.20-CFS Non-CIOSS'!H45,'Table 3.20-CFS Non-CIOSS'!H56,'Table 3.21-CFS CIOSS Rejs'!H9)</f>
        <v>19339.882988427744</v>
      </c>
      <c r="I39" s="151"/>
      <c r="J39" s="492">
        <f>'Table 3.3-PARS Fwd Summary'!J34+'Table 3.4-NonPARS Fwd Summary'!J29</f>
        <v>19339.882988427744</v>
      </c>
      <c r="K39" s="143">
        <f t="shared" si="2"/>
        <v>0</v>
      </c>
    </row>
    <row r="40" spans="1:11" ht="12.75" customHeight="1" hidden="1">
      <c r="A40" s="487"/>
      <c r="B40" s="32"/>
      <c r="C40" s="27"/>
      <c r="D40" s="488"/>
      <c r="E40" s="27"/>
      <c r="F40" s="485"/>
      <c r="G40" s="483" t="s">
        <v>502</v>
      </c>
      <c r="H40" s="504">
        <f>SUM('Table 3.23-CIOSS Summary'!I4,'Table 3.23-CIOSS Summary'!I8,'Table 3.23-CIOSS Summary'!I11)</f>
        <v>42369.85796776261</v>
      </c>
      <c r="I40" s="151"/>
      <c r="J40" s="492">
        <f>'Table 3.3-PARS Fwd Summary'!J35</f>
        <v>42369.85796776261</v>
      </c>
      <c r="K40" s="143">
        <f t="shared" si="2"/>
        <v>0</v>
      </c>
    </row>
    <row r="41" spans="1:11" ht="12.75" customHeight="1" hidden="1">
      <c r="A41" s="499"/>
      <c r="B41" s="32"/>
      <c r="C41" s="27"/>
      <c r="D41" s="488"/>
      <c r="E41" s="27"/>
      <c r="F41" s="485"/>
      <c r="G41" s="483" t="s">
        <v>503</v>
      </c>
      <c r="H41" s="504">
        <f>'Table 3.25-REC Summary'!K4+'Table 3.25-REC Summary'!K8</f>
        <v>29011.802823938535</v>
      </c>
      <c r="I41" s="151"/>
      <c r="J41" s="492">
        <f>'Table 3.3-PARS Fwd Summary'!J36</f>
        <v>29011.802823938535</v>
      </c>
      <c r="K41" s="143">
        <f t="shared" si="2"/>
        <v>0</v>
      </c>
    </row>
    <row r="42" spans="1:11" ht="12.75" customHeight="1" hidden="1">
      <c r="A42" s="491"/>
      <c r="B42" s="492"/>
      <c r="C42" s="151"/>
      <c r="D42" s="488"/>
      <c r="E42" s="151"/>
      <c r="F42" s="489"/>
      <c r="G42" s="67" t="s">
        <v>518</v>
      </c>
      <c r="H42" s="492">
        <f>'Table 3.3-PARS Fwd Summary'!H37+'Table 3.4-NonPARS Fwd Summary'!H30</f>
        <v>98646.05830210086</v>
      </c>
      <c r="I42" s="151"/>
      <c r="J42" s="492">
        <f>'Table 3.3-PARS Fwd Summary'!J37+'Table 3.4-NonPARS Fwd Summary'!J30</f>
        <v>98646.05830210086</v>
      </c>
      <c r="K42" s="143">
        <f t="shared" si="2"/>
        <v>0</v>
      </c>
    </row>
    <row r="43" spans="1:11" ht="12.75" customHeight="1" hidden="1">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7554.154498729475</v>
      </c>
      <c r="I43" s="151"/>
      <c r="J43" s="492">
        <f>'Table 3.3-PARS Fwd Summary'!J38+'Table 3.4-NonPARS Fwd Summary'!J31</f>
        <v>7554.154498729475</v>
      </c>
      <c r="K43" s="143">
        <f t="shared" si="2"/>
        <v>0</v>
      </c>
    </row>
    <row r="44" spans="1:11" ht="12.75" customHeight="1" hidden="1">
      <c r="A44" s="493"/>
      <c r="B44" s="492"/>
      <c r="C44" s="151"/>
      <c r="D44" s="488"/>
      <c r="E44" s="151"/>
      <c r="F44" s="489"/>
      <c r="G44" s="46" t="s">
        <v>314</v>
      </c>
      <c r="H44" s="492">
        <f>SUM(H37:H43)</f>
        <v>214975.28273680087</v>
      </c>
      <c r="I44" s="151"/>
      <c r="J44" s="492">
        <f>SUM(J37:J43)</f>
        <v>214975.28273680087</v>
      </c>
      <c r="K44" s="143">
        <f t="shared" si="2"/>
        <v>0</v>
      </c>
    </row>
    <row r="45" spans="1:10" ht="12.75">
      <c r="A45" s="317"/>
      <c r="B45" s="317"/>
      <c r="C45" s="317"/>
      <c r="D45" s="317"/>
      <c r="E45" s="317"/>
      <c r="F45" s="317"/>
      <c r="G45" s="27"/>
      <c r="H45" s="240"/>
      <c r="I45" s="27"/>
      <c r="J45" s="27"/>
    </row>
    <row r="46" ht="12.75">
      <c r="A46" s="284" t="s">
        <v>235</v>
      </c>
    </row>
    <row r="47" spans="1:4" ht="12.75">
      <c r="A47" s="284" t="s">
        <v>575</v>
      </c>
      <c r="D47" s="12"/>
    </row>
    <row r="48" spans="1:4" ht="12.75">
      <c r="A48" s="284" t="s">
        <v>576</v>
      </c>
      <c r="D48" s="12"/>
    </row>
    <row r="49" spans="1:4" ht="12.75">
      <c r="A49" s="284"/>
      <c r="D49" s="12"/>
    </row>
    <row r="50" ht="12.75">
      <c r="A50" s="241"/>
    </row>
    <row r="51" ht="12.75">
      <c r="A51" s="241"/>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sheetPr codeName="Sheet28">
    <pageSetUpPr fitToPage="1"/>
  </sheetPr>
  <dimension ref="A1:R35"/>
  <sheetViews>
    <sheetView zoomScale="70" zoomScaleNormal="70" zoomScalePageLayoutView="0" workbookViewId="0" topLeftCell="A1">
      <selection activeCell="C28" sqref="C28"/>
    </sheetView>
  </sheetViews>
  <sheetFormatPr defaultColWidth="9.140625" defaultRowHeight="12.75"/>
  <cols>
    <col min="1" max="1" width="27.8515625" style="11" customWidth="1"/>
    <col min="2" max="7" width="11.7109375" style="11" customWidth="1"/>
    <col min="8" max="8" width="9.7109375" style="11" customWidth="1"/>
    <col min="9" max="10" width="10.140625" style="11" customWidth="1"/>
    <col min="11" max="11" width="10.57421875" style="11" bestFit="1" customWidth="1"/>
    <col min="12" max="12" width="9.140625" style="11" customWidth="1"/>
    <col min="13" max="13" width="10.28125" style="11" bestFit="1" customWidth="1"/>
    <col min="14" max="14" width="10.57421875" style="11" bestFit="1" customWidth="1"/>
    <col min="15" max="15" width="9.140625" style="11" customWidth="1"/>
    <col min="16" max="16" width="11.28125" style="11" bestFit="1" customWidth="1"/>
    <col min="17" max="16384" width="9.140625" style="11" customWidth="1"/>
  </cols>
  <sheetData>
    <row r="1" s="24" customFormat="1" ht="15">
      <c r="A1" s="158" t="s">
        <v>710</v>
      </c>
    </row>
    <row r="2" s="24" customFormat="1" ht="15">
      <c r="A2" s="158" t="s">
        <v>787</v>
      </c>
    </row>
    <row r="3" spans="2:11" ht="12.75">
      <c r="B3" s="108" t="s">
        <v>167</v>
      </c>
      <c r="C3" s="108"/>
      <c r="D3" s="107"/>
      <c r="E3" s="107"/>
      <c r="F3" s="107"/>
      <c r="G3" s="107"/>
      <c r="H3" s="51"/>
      <c r="I3" s="51"/>
      <c r="J3" s="51"/>
      <c r="K3" s="51"/>
    </row>
    <row r="4" spans="2:11" ht="12.75">
      <c r="B4" s="237" t="s">
        <v>147</v>
      </c>
      <c r="C4" s="441"/>
      <c r="D4" s="13"/>
      <c r="E4" s="237" t="s">
        <v>149</v>
      </c>
      <c r="F4" s="238"/>
      <c r="G4" s="13"/>
      <c r="H4" s="24"/>
      <c r="I4" s="24"/>
      <c r="J4" s="51"/>
      <c r="K4" s="51"/>
    </row>
    <row r="5" spans="2:11" ht="12.75">
      <c r="B5" s="178" t="s">
        <v>228</v>
      </c>
      <c r="C5" s="236" t="s">
        <v>229</v>
      </c>
      <c r="D5" s="106" t="s">
        <v>148</v>
      </c>
      <c r="E5" s="178" t="s">
        <v>228</v>
      </c>
      <c r="F5" s="236" t="s">
        <v>229</v>
      </c>
      <c r="G5" s="106" t="s">
        <v>102</v>
      </c>
      <c r="H5" s="47"/>
      <c r="I5" s="51"/>
      <c r="J5" s="51"/>
      <c r="K5" s="51"/>
    </row>
    <row r="6" spans="1:16" ht="12.75">
      <c r="A6" s="89" t="s">
        <v>278</v>
      </c>
      <c r="B6" s="121">
        <f aca="true" t="shared" si="0" ref="B6:G7">(B17+$B12)*$B$9</f>
        <v>0.09309612106378042</v>
      </c>
      <c r="C6" s="121">
        <f>(C17+$B12)*$B$9</f>
        <v>0.17915028929333193</v>
      </c>
      <c r="D6" s="121">
        <f t="shared" si="0"/>
        <v>0.35922489154571136</v>
      </c>
      <c r="E6" s="121">
        <f t="shared" si="0"/>
        <v>2.9621088678819714</v>
      </c>
      <c r="F6" s="121">
        <f t="shared" si="0"/>
        <v>3.0725861167948443</v>
      </c>
      <c r="G6" s="121">
        <f t="shared" si="0"/>
        <v>0.12594086488040146</v>
      </c>
      <c r="H6"/>
      <c r="I6" s="210"/>
      <c r="J6" s="53"/>
      <c r="K6" s="86"/>
      <c r="L6" s="86"/>
      <c r="M6" s="498"/>
      <c r="N6" s="498"/>
      <c r="O6" s="53"/>
      <c r="P6" s="53"/>
    </row>
    <row r="7" spans="1:15" ht="12.75">
      <c r="A7" s="21" t="s">
        <v>373</v>
      </c>
      <c r="B7" s="121">
        <f t="shared" si="0"/>
        <v>0.35033534859634063</v>
      </c>
      <c r="C7" s="121">
        <f>(C18+$B13)*$B$9</f>
        <v>1.0850818239137678</v>
      </c>
      <c r="D7" s="121">
        <f t="shared" si="0"/>
        <v>1.114759108387216</v>
      </c>
      <c r="E7" s="121"/>
      <c r="F7" s="121">
        <f t="shared" si="0"/>
        <v>14.957261003002984</v>
      </c>
      <c r="G7" s="121">
        <f t="shared" si="0"/>
        <v>0.5281707081100205</v>
      </c>
      <c r="H7"/>
      <c r="I7" s="210"/>
      <c r="J7" s="53"/>
      <c r="K7" s="86"/>
      <c r="L7" s="86"/>
      <c r="M7" s="498"/>
      <c r="N7" s="498"/>
      <c r="O7" s="53"/>
    </row>
    <row r="8" spans="1:9" ht="12.75">
      <c r="A8" s="21"/>
      <c r="B8" s="206"/>
      <c r="C8" s="206"/>
      <c r="D8" s="206"/>
      <c r="E8" s="206"/>
      <c r="F8" s="206"/>
      <c r="G8" s="117"/>
      <c r="H8" s="51"/>
      <c r="I8" s="51"/>
    </row>
    <row r="9" spans="1:11" ht="13.5" customHeight="1">
      <c r="A9" s="323" t="s">
        <v>192</v>
      </c>
      <c r="B9" s="207">
        <v>1.7618940786298556</v>
      </c>
      <c r="C9" s="294" t="s">
        <v>238</v>
      </c>
      <c r="E9" s="206"/>
      <c r="F9" s="206"/>
      <c r="G9" s="117"/>
      <c r="H9" s="51"/>
      <c r="I9" s="51"/>
      <c r="J9" s="51"/>
      <c r="K9" s="51"/>
    </row>
    <row r="10" spans="1:11" ht="12.75">
      <c r="A10" s="21"/>
      <c r="B10" s="206"/>
      <c r="C10" s="206"/>
      <c r="E10" s="206"/>
      <c r="F10" s="206"/>
      <c r="G10" s="117"/>
      <c r="H10" s="51"/>
      <c r="I10" s="51"/>
      <c r="J10" s="51"/>
      <c r="K10" s="51"/>
    </row>
    <row r="11" spans="1:10" ht="12.75">
      <c r="A11" s="15" t="s">
        <v>185</v>
      </c>
      <c r="B11" s="208"/>
      <c r="C11" s="208"/>
      <c r="E11" s="208"/>
      <c r="F11" s="208"/>
      <c r="G11" s="48"/>
      <c r="H11" s="51"/>
      <c r="I11" s="51"/>
      <c r="J11" s="51"/>
    </row>
    <row r="12" spans="1:10" ht="12.75">
      <c r="A12" s="89" t="s">
        <v>278</v>
      </c>
      <c r="B12" s="121">
        <v>0.032244059514189065</v>
      </c>
      <c r="C12" s="294" t="s">
        <v>239</v>
      </c>
      <c r="E12" s="208"/>
      <c r="F12" s="208"/>
      <c r="G12" s="48"/>
      <c r="H12" s="51"/>
      <c r="I12" s="51"/>
      <c r="J12" s="51"/>
    </row>
    <row r="13" spans="1:10" ht="12.75">
      <c r="A13" s="21" t="s">
        <v>373</v>
      </c>
      <c r="B13" s="121">
        <v>0.032244059514189065</v>
      </c>
      <c r="C13" s="294" t="s">
        <v>239</v>
      </c>
      <c r="E13" s="208"/>
      <c r="F13" s="208"/>
      <c r="G13" s="48"/>
      <c r="H13" s="51"/>
      <c r="I13" s="51"/>
      <c r="J13" s="51"/>
    </row>
    <row r="14" spans="2:10" ht="12.75">
      <c r="B14" s="208"/>
      <c r="C14" s="208"/>
      <c r="D14" s="208"/>
      <c r="E14" s="208"/>
      <c r="F14" s="208"/>
      <c r="G14" s="48"/>
      <c r="H14" s="51"/>
      <c r="I14" s="51"/>
      <c r="J14" s="51"/>
    </row>
    <row r="15" spans="1:10" ht="12.75">
      <c r="A15" s="15" t="s">
        <v>374</v>
      </c>
      <c r="B15" s="237" t="s">
        <v>147</v>
      </c>
      <c r="C15" s="441"/>
      <c r="D15" s="206"/>
      <c r="E15" s="237" t="s">
        <v>149</v>
      </c>
      <c r="F15" s="238"/>
      <c r="G15" s="14"/>
      <c r="H15"/>
      <c r="I15"/>
      <c r="J15" s="108"/>
    </row>
    <row r="16" spans="1:10" ht="12.75">
      <c r="A16" s="11" t="s">
        <v>166</v>
      </c>
      <c r="B16" s="178" t="s">
        <v>228</v>
      </c>
      <c r="C16" s="236" t="s">
        <v>229</v>
      </c>
      <c r="D16" s="209" t="s">
        <v>148</v>
      </c>
      <c r="E16" s="178" t="s">
        <v>228</v>
      </c>
      <c r="F16" s="236" t="s">
        <v>229</v>
      </c>
      <c r="G16" s="106" t="s">
        <v>102</v>
      </c>
      <c r="H16"/>
      <c r="J16"/>
    </row>
    <row r="17" spans="1:15" ht="12.75">
      <c r="A17" s="89" t="s">
        <v>278</v>
      </c>
      <c r="B17" s="121">
        <f aca="true" t="shared" si="1" ref="B17:G18">IF(B27=0,0,B22/B27)</f>
        <v>0.020594599854129494</v>
      </c>
      <c r="C17" s="121">
        <f>IF(C27=0,0,C22/C27)</f>
        <v>0.06943645094683076</v>
      </c>
      <c r="D17" s="121">
        <f t="shared" si="1"/>
        <v>0.17164157464667043</v>
      </c>
      <c r="E17" s="121">
        <f t="shared" si="1"/>
        <v>1.6489630594662368</v>
      </c>
      <c r="F17" s="121">
        <f t="shared" si="1"/>
        <v>1.7116667431058266</v>
      </c>
      <c r="G17" s="121">
        <f t="shared" si="1"/>
        <v>0.03923632424323857</v>
      </c>
      <c r="H17"/>
      <c r="J17" s="86"/>
      <c r="K17" s="86"/>
      <c r="L17" s="86"/>
      <c r="M17" s="53"/>
      <c r="N17" s="53"/>
      <c r="O17" s="53"/>
    </row>
    <row r="18" spans="1:15" ht="12.75">
      <c r="A18" s="21" t="s">
        <v>373</v>
      </c>
      <c r="B18" s="121">
        <f t="shared" si="1"/>
        <v>0.16659612778514077</v>
      </c>
      <c r="C18" s="121">
        <f>IF(C28=0,0,C23/C28)</f>
        <v>0.5836169261573141</v>
      </c>
      <c r="D18" s="121">
        <f t="shared" si="1"/>
        <v>0.6004608924509784</v>
      </c>
      <c r="E18" s="121">
        <f t="shared" si="1"/>
        <v>0</v>
      </c>
      <c r="F18" s="121">
        <f t="shared" si="1"/>
        <v>8.457063660184012</v>
      </c>
      <c r="G18" s="121">
        <f t="shared" si="1"/>
        <v>0.2675303222243288</v>
      </c>
      <c r="H18"/>
      <c r="J18" s="86"/>
      <c r="K18" s="86"/>
      <c r="L18" s="86"/>
      <c r="M18" s="6"/>
      <c r="N18" s="53"/>
      <c r="O18" s="53"/>
    </row>
    <row r="19" spans="1:8" ht="12.75">
      <c r="A19" s="21"/>
      <c r="B19" s="121"/>
      <c r="C19" s="121"/>
      <c r="D19" s="121"/>
      <c r="E19" s="121"/>
      <c r="F19" s="121"/>
      <c r="G19" s="121"/>
      <c r="H19"/>
    </row>
    <row r="20" spans="2:14" ht="12.75">
      <c r="B20" s="237" t="s">
        <v>376</v>
      </c>
      <c r="C20" s="441"/>
      <c r="D20" s="206"/>
      <c r="E20" s="237" t="s">
        <v>149</v>
      </c>
      <c r="F20" s="238"/>
      <c r="G20" s="117"/>
      <c r="H20"/>
      <c r="I20"/>
      <c r="J20"/>
      <c r="K20"/>
      <c r="L20"/>
      <c r="M20"/>
      <c r="N20"/>
    </row>
    <row r="21" spans="1:14" ht="12.75">
      <c r="A21" s="24" t="s">
        <v>375</v>
      </c>
      <c r="B21" s="178" t="s">
        <v>228</v>
      </c>
      <c r="C21" s="236" t="s">
        <v>229</v>
      </c>
      <c r="D21" s="209" t="s">
        <v>148</v>
      </c>
      <c r="E21" s="178" t="s">
        <v>228</v>
      </c>
      <c r="F21" s="236" t="s">
        <v>229</v>
      </c>
      <c r="G21" s="106" t="s">
        <v>102</v>
      </c>
      <c r="H21"/>
      <c r="I21"/>
      <c r="J21"/>
      <c r="K21"/>
      <c r="L21"/>
      <c r="M21"/>
      <c r="N21"/>
    </row>
    <row r="22" spans="1:14" ht="12.75">
      <c r="A22" s="89" t="s">
        <v>278</v>
      </c>
      <c r="B22" s="105">
        <v>13862.88363361401</v>
      </c>
      <c r="C22" s="105">
        <v>4896.860668380449</v>
      </c>
      <c r="D22" s="105">
        <v>6215.866595691042</v>
      </c>
      <c r="E22" s="105">
        <v>1812.1349178325734</v>
      </c>
      <c r="F22" s="105">
        <v>3945.0011172129152</v>
      </c>
      <c r="G22" s="105">
        <f>SUM(B22:F22)</f>
        <v>30732.74693273099</v>
      </c>
      <c r="H22"/>
      <c r="I22"/>
      <c r="J22"/>
      <c r="K22"/>
      <c r="L22"/>
      <c r="M22"/>
      <c r="N22"/>
    </row>
    <row r="23" spans="1:14" ht="12.75">
      <c r="A23" s="21" t="s">
        <v>373</v>
      </c>
      <c r="B23" s="105">
        <v>194506.00549135476</v>
      </c>
      <c r="C23" s="105">
        <v>44468.23078678107</v>
      </c>
      <c r="D23" s="105">
        <v>36878.824170219545</v>
      </c>
      <c r="E23" s="105">
        <v>0</v>
      </c>
      <c r="F23" s="105">
        <v>75706.88288247936</v>
      </c>
      <c r="G23" s="105">
        <f>SUM(B23:F23)</f>
        <v>351559.94333083474</v>
      </c>
      <c r="H23"/>
      <c r="I23"/>
      <c r="J23"/>
      <c r="K23"/>
      <c r="L23"/>
      <c r="M23"/>
      <c r="N23"/>
    </row>
    <row r="24" spans="1:14" ht="12.75">
      <c r="A24" s="21"/>
      <c r="B24" s="105"/>
      <c r="C24" s="105"/>
      <c r="D24" s="105"/>
      <c r="E24" s="105"/>
      <c r="F24" s="105"/>
      <c r="G24" s="105"/>
      <c r="H24"/>
      <c r="I24"/>
      <c r="J24"/>
      <c r="K24"/>
      <c r="L24"/>
      <c r="M24"/>
      <c r="N24"/>
    </row>
    <row r="25" spans="2:14" ht="12.75">
      <c r="B25" s="237" t="s">
        <v>376</v>
      </c>
      <c r="C25" s="441"/>
      <c r="D25" s="105"/>
      <c r="E25" s="237" t="s">
        <v>149</v>
      </c>
      <c r="F25" s="238"/>
      <c r="G25" s="105"/>
      <c r="H25"/>
      <c r="I25"/>
      <c r="J25"/>
      <c r="K25"/>
      <c r="L25"/>
      <c r="M25"/>
      <c r="N25"/>
    </row>
    <row r="26" spans="1:14" ht="12.75">
      <c r="A26" s="25" t="s">
        <v>252</v>
      </c>
      <c r="B26" s="178" t="s">
        <v>228</v>
      </c>
      <c r="C26" s="236" t="s">
        <v>229</v>
      </c>
      <c r="D26" s="209" t="s">
        <v>148</v>
      </c>
      <c r="E26" s="178" t="s">
        <v>228</v>
      </c>
      <c r="F26" s="236" t="s">
        <v>229</v>
      </c>
      <c r="G26" s="106" t="s">
        <v>102</v>
      </c>
      <c r="H26"/>
      <c r="I26"/>
      <c r="J26"/>
      <c r="K26"/>
      <c r="L26"/>
      <c r="M26"/>
      <c r="N26"/>
    </row>
    <row r="27" spans="1:14" ht="12.75">
      <c r="A27" s="89" t="s">
        <v>278</v>
      </c>
      <c r="B27" s="105">
        <v>673131.9730319652</v>
      </c>
      <c r="C27" s="105">
        <v>70522.91126068783</v>
      </c>
      <c r="D27" s="105">
        <v>36214.22495387029</v>
      </c>
      <c r="E27" s="105">
        <v>1098.9542230370853</v>
      </c>
      <c r="F27" s="105">
        <v>2304.7717279677317</v>
      </c>
      <c r="G27" s="105">
        <f>SUM(B27:F27)</f>
        <v>783272.8351975282</v>
      </c>
      <c r="H27"/>
      <c r="I27"/>
      <c r="J27"/>
      <c r="K27"/>
      <c r="L27"/>
      <c r="M27"/>
      <c r="N27"/>
    </row>
    <row r="28" spans="1:18" ht="12.75">
      <c r="A28" s="21" t="s">
        <v>373</v>
      </c>
      <c r="B28" s="105">
        <v>1167530.1705824123</v>
      </c>
      <c r="C28" s="105">
        <v>76194.21026660671</v>
      </c>
      <c r="D28" s="105">
        <v>61417.52882471081</v>
      </c>
      <c r="E28" s="105">
        <v>0</v>
      </c>
      <c r="F28" s="105">
        <v>8951.911198080315</v>
      </c>
      <c r="G28" s="105">
        <f>SUM(B28:F28)</f>
        <v>1314093.82087181</v>
      </c>
      <c r="H28"/>
      <c r="I28" s="27"/>
      <c r="J28" s="27"/>
      <c r="K28" s="27"/>
      <c r="L28" s="27"/>
      <c r="M28" s="27"/>
      <c r="N28" s="27"/>
      <c r="O28" s="140"/>
      <c r="P28" s="140"/>
      <c r="Q28" s="140"/>
      <c r="R28" s="140"/>
    </row>
    <row r="29" spans="1:18" ht="12.75">
      <c r="A29" s="141"/>
      <c r="B29" s="141"/>
      <c r="C29" s="141"/>
      <c r="D29" s="141"/>
      <c r="E29" s="141"/>
      <c r="F29" s="141"/>
      <c r="I29" s="140"/>
      <c r="J29" s="140"/>
      <c r="K29" s="140"/>
      <c r="L29" s="140"/>
      <c r="M29" s="140"/>
      <c r="N29" s="140"/>
      <c r="O29" s="140"/>
      <c r="P29" s="140"/>
      <c r="Q29" s="140"/>
      <c r="R29" s="140"/>
    </row>
    <row r="30" spans="1:18" ht="12.75">
      <c r="A30" s="11" t="s">
        <v>235</v>
      </c>
      <c r="I30" s="145"/>
      <c r="J30" s="140"/>
      <c r="K30" s="140"/>
      <c r="L30" s="140"/>
      <c r="M30" s="140"/>
      <c r="N30" s="140"/>
      <c r="O30" s="140"/>
      <c r="P30" s="140"/>
      <c r="Q30" s="140"/>
      <c r="R30" s="140"/>
    </row>
    <row r="31" spans="1:6" ht="49.5" customHeight="1">
      <c r="A31" s="613" t="s">
        <v>813</v>
      </c>
      <c r="B31" s="614"/>
      <c r="C31" s="614"/>
      <c r="D31" s="614"/>
      <c r="E31" s="614"/>
      <c r="F31" s="614"/>
    </row>
    <row r="32" ht="12.75">
      <c r="A32" s="25" t="s">
        <v>795</v>
      </c>
    </row>
    <row r="33" ht="12.75">
      <c r="A33" s="25" t="s">
        <v>812</v>
      </c>
    </row>
    <row r="35" ht="12.75">
      <c r="C35" s="53"/>
    </row>
  </sheetData>
  <sheetProtection/>
  <mergeCells count="1">
    <mergeCell ref="A31:F31"/>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sheetPr codeName="Sheet29">
    <pageSetUpPr fitToPage="1"/>
  </sheetPr>
  <dimension ref="A1:F46"/>
  <sheetViews>
    <sheetView zoomScale="70" zoomScaleNormal="70" zoomScalePageLayoutView="0" workbookViewId="0" topLeftCell="A1">
      <selection activeCell="B28" sqref="B28"/>
    </sheetView>
  </sheetViews>
  <sheetFormatPr defaultColWidth="9.140625" defaultRowHeight="12.75"/>
  <cols>
    <col min="1" max="1" width="31.421875" style="0" bestFit="1" customWidth="1"/>
    <col min="2" max="2" width="11.7109375" style="0" customWidth="1"/>
    <col min="3" max="3" width="3.7109375" style="0" customWidth="1"/>
    <col min="4" max="4" width="11.7109375" style="0" customWidth="1"/>
    <col min="5" max="5" width="3.7109375" style="0" customWidth="1"/>
    <col min="6" max="6" width="11.7109375" style="0" customWidth="1"/>
  </cols>
  <sheetData>
    <row r="1" ht="15">
      <c r="A1" s="158" t="s">
        <v>711</v>
      </c>
    </row>
    <row r="2" ht="15">
      <c r="A2" s="158" t="s">
        <v>787</v>
      </c>
    </row>
    <row r="3" spans="1:6" ht="25.5">
      <c r="A3" s="544" t="s">
        <v>396</v>
      </c>
      <c r="B3" s="168" t="s">
        <v>109</v>
      </c>
      <c r="D3" s="169" t="s">
        <v>104</v>
      </c>
      <c r="F3" s="168" t="s">
        <v>110</v>
      </c>
    </row>
    <row r="4" ht="12.75">
      <c r="A4" s="16" t="s">
        <v>278</v>
      </c>
    </row>
    <row r="5" ht="12.75">
      <c r="A5" s="111" t="s">
        <v>505</v>
      </c>
    </row>
    <row r="6" spans="1:6" ht="12.75">
      <c r="A6" s="501" t="s">
        <v>539</v>
      </c>
      <c r="B6" s="6">
        <f>'Table 3.3-PARS Fwd Summary'!B23-B7</f>
        <v>673131.9730319652</v>
      </c>
      <c r="C6" s="12" t="s">
        <v>238</v>
      </c>
      <c r="D6" s="121">
        <f>'Table 3.29-UAA MP Units'!B6</f>
        <v>0.09309612106378042</v>
      </c>
      <c r="E6" s="12" t="s">
        <v>239</v>
      </c>
      <c r="F6" s="175">
        <f>B6*D6</f>
        <v>62665.975653285204</v>
      </c>
    </row>
    <row r="7" spans="1:6" ht="12.75">
      <c r="A7" s="545" t="s">
        <v>545</v>
      </c>
      <c r="B7" s="6">
        <f>SUM('Table 3.3-PARS Fwd Summary'!B9,'Table 3.3-PARS Fwd Summary'!B19)</f>
        <v>31008.180968034896</v>
      </c>
      <c r="C7" s="12" t="s">
        <v>238</v>
      </c>
      <c r="D7" s="121">
        <f>'Table 3.29-UAA MP Units'!C6</f>
        <v>0.17915028929333193</v>
      </c>
      <c r="E7" s="12" t="s">
        <v>239</v>
      </c>
      <c r="F7" s="175">
        <f>B7*D7</f>
        <v>5555.124590883441</v>
      </c>
    </row>
    <row r="8" spans="1:6" ht="12.75">
      <c r="A8" s="501" t="s">
        <v>102</v>
      </c>
      <c r="B8" s="6">
        <f>SUM(B6:B7)</f>
        <v>704140.1540000001</v>
      </c>
      <c r="D8" s="121">
        <f>F8/B8</f>
        <v>0.09688568370462315</v>
      </c>
      <c r="F8" s="165">
        <f>SUM(F6:F7)</f>
        <v>68221.10024416864</v>
      </c>
    </row>
    <row r="9" ht="4.5" customHeight="1"/>
    <row r="10" ht="12.75">
      <c r="A10" s="111" t="s">
        <v>490</v>
      </c>
    </row>
    <row r="11" spans="1:6" ht="12.75">
      <c r="A11" s="501" t="s">
        <v>539</v>
      </c>
      <c r="B11">
        <v>0</v>
      </c>
      <c r="D11" s="121">
        <f>'Table 3.29-UAA MP Units'!B6</f>
        <v>0.09309612106378042</v>
      </c>
      <c r="E11" s="12" t="s">
        <v>239</v>
      </c>
      <c r="F11" s="175">
        <f>B11*D11</f>
        <v>0</v>
      </c>
    </row>
    <row r="12" spans="1:6" ht="12.75">
      <c r="A12" s="501" t="s">
        <v>540</v>
      </c>
      <c r="B12" s="6">
        <f>'Table 3.29-UAA MP Units'!C27-B7</f>
        <v>39514.73029265294</v>
      </c>
      <c r="C12" s="12" t="s">
        <v>240</v>
      </c>
      <c r="D12" s="121">
        <f>'Table 3.29-UAA MP Units'!C6</f>
        <v>0.17915028929333193</v>
      </c>
      <c r="E12" s="12" t="s">
        <v>239</v>
      </c>
      <c r="F12" s="175">
        <f>B12*D12</f>
        <v>7079.07536327676</v>
      </c>
    </row>
    <row r="13" spans="1:6" ht="12.75">
      <c r="A13" s="501" t="s">
        <v>148</v>
      </c>
      <c r="B13" s="6">
        <f>'Table 3.29-UAA MP Units'!D27</f>
        <v>36214.22495387029</v>
      </c>
      <c r="C13" s="12" t="s">
        <v>239</v>
      </c>
      <c r="D13" s="121">
        <f>'Table 3.29-UAA MP Units'!D6</f>
        <v>0.35922489154571136</v>
      </c>
      <c r="E13" s="12" t="s">
        <v>239</v>
      </c>
      <c r="F13" s="175">
        <f>B13*D13</f>
        <v>13009.051031466048</v>
      </c>
    </row>
    <row r="14" spans="1:6" ht="12.75">
      <c r="A14" s="501" t="s">
        <v>541</v>
      </c>
      <c r="B14" s="6">
        <f>'Table 3.29-UAA MP Units'!E27</f>
        <v>1098.9542230370853</v>
      </c>
      <c r="C14" s="12" t="s">
        <v>239</v>
      </c>
      <c r="D14" s="121">
        <f>'Table 3.29-UAA MP Units'!E6</f>
        <v>2.9621088678819714</v>
      </c>
      <c r="E14" s="12" t="s">
        <v>239</v>
      </c>
      <c r="F14" s="175">
        <f>B14*D14</f>
        <v>3255.222049454492</v>
      </c>
    </row>
    <row r="15" spans="1:6" ht="12.75">
      <c r="A15" s="545" t="s">
        <v>542</v>
      </c>
      <c r="B15" s="6">
        <f>'Table 3.29-UAA MP Units'!F27</f>
        <v>2304.7717279677317</v>
      </c>
      <c r="C15" s="12" t="s">
        <v>239</v>
      </c>
      <c r="D15" s="121">
        <f>'Table 3.29-UAA MP Units'!F6</f>
        <v>3.0725861167948443</v>
      </c>
      <c r="E15" s="12" t="s">
        <v>239</v>
      </c>
      <c r="F15" s="175">
        <f>B15*D15</f>
        <v>7081.609613734916</v>
      </c>
    </row>
    <row r="16" spans="1:6" ht="12.75">
      <c r="A16" s="501" t="s">
        <v>102</v>
      </c>
      <c r="B16" s="6">
        <f>SUM(B11:B15)</f>
        <v>79132.68119752804</v>
      </c>
      <c r="D16" s="121">
        <f>F16/B16</f>
        <v>0.38448031328531096</v>
      </c>
      <c r="F16" s="165">
        <f>SUM(F11:F15)</f>
        <v>30424.958057932217</v>
      </c>
    </row>
    <row r="17" ht="4.5" customHeight="1"/>
    <row r="18" spans="1:6" ht="12.75">
      <c r="A18" s="546" t="s">
        <v>543</v>
      </c>
      <c r="B18" s="6">
        <f>SUM(B8,B16)</f>
        <v>783272.8351975281</v>
      </c>
      <c r="D18" s="121">
        <f>F18/B18</f>
        <v>0.1259408648804015</v>
      </c>
      <c r="F18" s="165">
        <f>SUM(F8,F16)</f>
        <v>98646.05830210086</v>
      </c>
    </row>
    <row r="20" ht="12.75">
      <c r="A20" s="16" t="s">
        <v>280</v>
      </c>
    </row>
    <row r="21" ht="12.75">
      <c r="A21" s="111" t="s">
        <v>505</v>
      </c>
    </row>
    <row r="22" spans="1:6" ht="12.75">
      <c r="A22" s="501" t="s">
        <v>539</v>
      </c>
      <c r="B22" s="6">
        <f>'Table 3.6-PARS RTS Summary'!B62-B23</f>
        <v>1167530.1705824125</v>
      </c>
      <c r="C22" s="12" t="s">
        <v>241</v>
      </c>
      <c r="D22" s="121">
        <f>'Table 3.29-UAA MP Units'!B7</f>
        <v>0.35033534859634063</v>
      </c>
      <c r="E22" s="12" t="s">
        <v>239</v>
      </c>
      <c r="F22" s="175">
        <f>B22*D22</f>
        <v>409027.0893077345</v>
      </c>
    </row>
    <row r="23" spans="1:6" ht="12.75">
      <c r="A23" s="545" t="s">
        <v>545</v>
      </c>
      <c r="B23" s="6">
        <f>SUM('Table 3.6-PARS RTS Summary'!B9,'Table 3.6-PARS RTS Summary'!B17,'Table 3.6-PARS RTS Summary'!B27,'Table 3.6-PARS RTS Summary'!B37,'Table 3.6-PARS RTS Summary'!B48,'Table 3.6-PARS RTS Summary'!B58)</f>
        <v>58119.3424175878</v>
      </c>
      <c r="C23" s="12" t="s">
        <v>241</v>
      </c>
      <c r="D23" s="121">
        <f>'Table 3.29-UAA MP Units'!C7</f>
        <v>1.0850818239137678</v>
      </c>
      <c r="E23" s="12" t="s">
        <v>239</v>
      </c>
      <c r="F23" s="175">
        <f>B23*D23</f>
        <v>63064.24207514498</v>
      </c>
    </row>
    <row r="24" spans="1:6" ht="12.75">
      <c r="A24" s="501" t="s">
        <v>102</v>
      </c>
      <c r="B24" s="6">
        <f>SUM(B22:B23)</f>
        <v>1225649.5130000003</v>
      </c>
      <c r="D24" s="121">
        <f>F24/B24</f>
        <v>0.385176452465069</v>
      </c>
      <c r="F24" s="165">
        <f>SUM(F22:F23)</f>
        <v>472091.3313828795</v>
      </c>
    </row>
    <row r="25" ht="4.5" customHeight="1"/>
    <row r="26" ht="12.75">
      <c r="A26" s="111" t="s">
        <v>490</v>
      </c>
    </row>
    <row r="27" spans="1:6" ht="12.75">
      <c r="A27" s="501" t="s">
        <v>539</v>
      </c>
      <c r="B27">
        <v>0</v>
      </c>
      <c r="D27" s="121">
        <f>'Table 3.29-UAA MP Units'!B7</f>
        <v>0.35033534859634063</v>
      </c>
      <c r="E27" s="12" t="s">
        <v>239</v>
      </c>
      <c r="F27" s="165">
        <f>B27*D27</f>
        <v>0</v>
      </c>
    </row>
    <row r="28" spans="1:6" ht="12.75">
      <c r="A28" s="501" t="s">
        <v>540</v>
      </c>
      <c r="B28" s="6">
        <f>'Table 3.29-UAA MP Units'!C28-B23</f>
        <v>18074.867849018905</v>
      </c>
      <c r="C28" s="12" t="s">
        <v>240</v>
      </c>
      <c r="D28" s="121">
        <f>'Table 3.29-UAA MP Units'!C7</f>
        <v>1.0850818239137678</v>
      </c>
      <c r="E28" s="12" t="s">
        <v>239</v>
      </c>
      <c r="F28" s="165">
        <f>B28*D28</f>
        <v>19612.710572613756</v>
      </c>
    </row>
    <row r="29" spans="1:6" ht="12.75">
      <c r="A29" s="501" t="s">
        <v>148</v>
      </c>
      <c r="B29" s="6">
        <f>'Table 3.29-UAA MP Units'!D28</f>
        <v>61417.52882471081</v>
      </c>
      <c r="C29" s="12" t="s">
        <v>239</v>
      </c>
      <c r="D29" s="121">
        <f>'Table 3.29-UAA MP Units'!D7</f>
        <v>1.114759108387216</v>
      </c>
      <c r="E29" s="12" t="s">
        <v>239</v>
      </c>
      <c r="F29" s="165">
        <f>B29*D29</f>
        <v>68465.74967198075</v>
      </c>
    </row>
    <row r="30" spans="1:6" ht="12.75">
      <c r="A30" s="501" t="s">
        <v>541</v>
      </c>
      <c r="B30" s="6">
        <f>'Table 3.29-UAA MP Units'!E28</f>
        <v>0</v>
      </c>
      <c r="C30" s="12" t="s">
        <v>239</v>
      </c>
      <c r="D30" s="121">
        <f>'Table 3.29-UAA MP Units'!E7</f>
        <v>0</v>
      </c>
      <c r="E30" s="12" t="s">
        <v>239</v>
      </c>
      <c r="F30" s="165">
        <f>B30*D30</f>
        <v>0</v>
      </c>
    </row>
    <row r="31" spans="1:6" ht="12.75">
      <c r="A31" s="545" t="s">
        <v>542</v>
      </c>
      <c r="B31" s="6">
        <f>'Table 3.29-UAA MP Units'!F28</f>
        <v>8951.911198080315</v>
      </c>
      <c r="C31" s="12" t="s">
        <v>239</v>
      </c>
      <c r="D31" s="121">
        <f>'Table 3.29-UAA MP Units'!F7</f>
        <v>14.957261003002984</v>
      </c>
      <c r="E31" s="12" t="s">
        <v>239</v>
      </c>
      <c r="F31" s="165">
        <f>B31*D31</f>
        <v>133896.07226539243</v>
      </c>
    </row>
    <row r="32" spans="1:6" ht="12.75">
      <c r="A32" s="501" t="s">
        <v>102</v>
      </c>
      <c r="B32" s="6">
        <f>SUM(B27:B31)</f>
        <v>88444.30787181003</v>
      </c>
      <c r="D32" s="121">
        <f>F32/B32</f>
        <v>2.509766177736546</v>
      </c>
      <c r="F32" s="165">
        <f>SUM(F27:F31)</f>
        <v>221974.53250998695</v>
      </c>
    </row>
    <row r="33" ht="4.5" customHeight="1"/>
    <row r="34" spans="1:6" ht="12.75">
      <c r="A34" s="546" t="s">
        <v>544</v>
      </c>
      <c r="B34" s="6">
        <f>B24+B32</f>
        <v>1314093.8208718102</v>
      </c>
      <c r="D34" s="121">
        <f>F34/B34</f>
        <v>0.5281707081100205</v>
      </c>
      <c r="F34" s="165">
        <f>F24+F32</f>
        <v>694065.8638928665</v>
      </c>
    </row>
    <row r="35" ht="12.75" hidden="1"/>
    <row r="36" spans="1:6" ht="12.75" hidden="1">
      <c r="A36" s="14" t="s">
        <v>191</v>
      </c>
      <c r="B36" s="143">
        <f>B18-'Table 3.29-UAA MP Units'!G27</f>
        <v>0</v>
      </c>
      <c r="D36" s="143">
        <f>D18-'Table 3.29-UAA MP Units'!G6</f>
        <v>0</v>
      </c>
      <c r="F36" s="143">
        <f>F18-PRODUCT('Table 3.29-UAA MP Units'!G6,'Table 3.29-UAA MP Units'!G27)</f>
        <v>0</v>
      </c>
    </row>
    <row r="37" spans="2:6" ht="12.75" hidden="1">
      <c r="B37" s="143">
        <f>B34-'Table 3.29-UAA MP Units'!G28</f>
        <v>0</v>
      </c>
      <c r="D37" s="143">
        <f>D34-'Table 3.29-UAA MP Units'!G7</f>
        <v>0</v>
      </c>
      <c r="F37" s="143">
        <f>F34-PRODUCT('Table 3.29-UAA MP Units'!G7,'Table 3.29-UAA MP Units'!G28)</f>
        <v>0</v>
      </c>
    </row>
    <row r="38" spans="2:6" ht="12.75" hidden="1">
      <c r="B38" s="143">
        <f>B6-'Table 3.29-UAA MP Units'!B27</f>
        <v>0</v>
      </c>
      <c r="D38" s="143">
        <f>B22-'Table 3.29-UAA MP Units'!B28</f>
        <v>0</v>
      </c>
      <c r="F38" s="143"/>
    </row>
    <row r="39" spans="2:6" ht="12.75" hidden="1">
      <c r="B39" s="143">
        <f>SUM(B7,B12)-'Table 3.29-UAA MP Units'!C27</f>
        <v>0</v>
      </c>
      <c r="D39" s="143">
        <f>SUM(B23,B28)-'Table 3.29-UAA MP Units'!C28</f>
        <v>0</v>
      </c>
      <c r="F39" s="143"/>
    </row>
    <row r="40" spans="1:4" ht="12.75">
      <c r="A40" s="141"/>
      <c r="B40" s="283"/>
      <c r="C40" s="283"/>
      <c r="D40" s="283"/>
    </row>
    <row r="41" ht="12.75">
      <c r="A41" s="11" t="s">
        <v>235</v>
      </c>
    </row>
    <row r="42" ht="12.75">
      <c r="A42" s="12" t="s">
        <v>546</v>
      </c>
    </row>
    <row r="43" ht="12.75">
      <c r="A43" s="12" t="s">
        <v>663</v>
      </c>
    </row>
    <row r="44" ht="12.75">
      <c r="A44" s="12" t="s">
        <v>700</v>
      </c>
    </row>
    <row r="45" ht="12.75">
      <c r="A45" s="12" t="s">
        <v>37</v>
      </c>
    </row>
    <row r="46" ht="12.75">
      <c r="A46" s="12" t="s">
        <v>664</v>
      </c>
    </row>
  </sheetData>
  <sheetProtection/>
  <printOptions horizontalCentered="1"/>
  <pageMargins left="0.75" right="0.75" top="1" bottom="1" header="0.5" footer="0.5"/>
  <pageSetup fitToHeight="1" fitToWidth="1" horizontalDpi="600" verticalDpi="600" orientation="landscape" scale="93"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J36"/>
  <sheetViews>
    <sheetView zoomScale="70" zoomScaleNormal="70" zoomScalePageLayoutView="0" workbookViewId="0" topLeftCell="A1">
      <selection activeCell="A1" sqref="A1"/>
    </sheetView>
  </sheetViews>
  <sheetFormatPr defaultColWidth="9.140625" defaultRowHeight="12.75"/>
  <cols>
    <col min="1" max="1" width="25.8515625" style="0" bestFit="1" customWidth="1"/>
    <col min="2" max="4" width="11.7109375" style="0" customWidth="1"/>
    <col min="5" max="5" width="3.57421875" style="0" customWidth="1"/>
    <col min="6" max="6" width="11.7109375" style="0" customWidth="1"/>
    <col min="7" max="7" width="3.57421875" style="0" customWidth="1"/>
    <col min="8" max="9" width="11.7109375" style="0" customWidth="1"/>
  </cols>
  <sheetData>
    <row r="1" ht="15">
      <c r="A1" s="158" t="s">
        <v>712</v>
      </c>
    </row>
    <row r="2" ht="15">
      <c r="A2" s="158" t="s">
        <v>787</v>
      </c>
    </row>
    <row r="3" ht="4.5" customHeight="1">
      <c r="A3" s="454"/>
    </row>
    <row r="4" ht="12.75">
      <c r="A4" s="15" t="s">
        <v>224</v>
      </c>
    </row>
    <row r="5" spans="2:10" ht="25.5">
      <c r="B5" s="168" t="s">
        <v>250</v>
      </c>
      <c r="C5" s="198" t="s">
        <v>104</v>
      </c>
      <c r="D5" s="189" t="s">
        <v>249</v>
      </c>
      <c r="E5" s="198"/>
      <c r="F5" s="199" t="s">
        <v>246</v>
      </c>
      <c r="G5" s="199"/>
      <c r="H5" s="160" t="s">
        <v>218</v>
      </c>
      <c r="I5" s="41" t="s">
        <v>133</v>
      </c>
      <c r="J5" s="4"/>
    </row>
    <row r="6" spans="1:10" ht="12.75">
      <c r="A6" s="49" t="s">
        <v>439</v>
      </c>
      <c r="B6" s="168"/>
      <c r="C6" s="198"/>
      <c r="D6" s="189"/>
      <c r="E6" s="198"/>
      <c r="F6" s="199"/>
      <c r="G6" s="199"/>
      <c r="H6" s="160"/>
      <c r="I6" s="41"/>
      <c r="J6" s="4"/>
    </row>
    <row r="7" spans="1:10" ht="12.75">
      <c r="A7" s="81" t="s">
        <v>278</v>
      </c>
      <c r="B7" s="168">
        <v>0</v>
      </c>
      <c r="C7" s="83" t="str">
        <f>IF(ISERROR(D7/B7),"n/a",D7/B7)</f>
        <v>n/a</v>
      </c>
      <c r="D7" s="52">
        <v>0</v>
      </c>
      <c r="E7" s="198"/>
      <c r="F7" s="54">
        <v>1.5205589342948984</v>
      </c>
      <c r="G7" s="199"/>
      <c r="H7" s="52">
        <f>F7*D7</f>
        <v>0</v>
      </c>
      <c r="I7" s="83" t="str">
        <f>IF(ISERROR(H7/B7),"n/a",H7/B7)</f>
        <v>n/a</v>
      </c>
      <c r="J7" s="4"/>
    </row>
    <row r="8" spans="1:10" ht="12.75">
      <c r="A8" s="81" t="s">
        <v>274</v>
      </c>
      <c r="B8" s="168">
        <v>1996.6416143539482</v>
      </c>
      <c r="C8" s="83">
        <f>IF(ISERROR(D8/B8),"n/a",D8/B8)</f>
        <v>0</v>
      </c>
      <c r="D8" s="52">
        <v>0</v>
      </c>
      <c r="E8" s="198"/>
      <c r="F8" s="54">
        <v>1.5205589342948984</v>
      </c>
      <c r="G8" s="199"/>
      <c r="H8" s="52">
        <f>F8*D8</f>
        <v>0</v>
      </c>
      <c r="I8" s="83">
        <f>IF(ISERROR(H8/B8),"n/a",H8/B8)</f>
        <v>0</v>
      </c>
      <c r="J8" s="4"/>
    </row>
    <row r="9" spans="1:10" ht="12.75">
      <c r="A9" s="82" t="s">
        <v>444</v>
      </c>
      <c r="B9" s="168">
        <f>SUM(B7:B8)</f>
        <v>1996.6416143539482</v>
      </c>
      <c r="C9" s="83">
        <f>IF(ISERROR(D9/B9),"n/a",D9/B9)</f>
        <v>0</v>
      </c>
      <c r="D9" s="52">
        <f>SUM(D7:D8)</f>
        <v>0</v>
      </c>
      <c r="E9" s="455" t="s">
        <v>239</v>
      </c>
      <c r="F9" s="54"/>
      <c r="G9" s="199"/>
      <c r="H9" s="52">
        <f>SUM(H7:H8)</f>
        <v>0</v>
      </c>
      <c r="I9" s="83">
        <f>IF(ISERROR(H9/B9),"n/a",H9/B9)</f>
        <v>0</v>
      </c>
      <c r="J9" s="4"/>
    </row>
    <row r="10" spans="2:10" ht="12.75">
      <c r="B10" s="168"/>
      <c r="C10" s="83"/>
      <c r="D10" s="189"/>
      <c r="E10" s="198"/>
      <c r="F10" s="199"/>
      <c r="G10" s="199"/>
      <c r="H10" s="160"/>
      <c r="I10" s="83"/>
      <c r="J10" s="4"/>
    </row>
    <row r="11" spans="1:10" ht="12.75">
      <c r="A11" s="49" t="s">
        <v>442</v>
      </c>
      <c r="B11" s="168"/>
      <c r="C11" s="83"/>
      <c r="D11" s="189"/>
      <c r="E11" s="198"/>
      <c r="F11" s="199"/>
      <c r="G11" s="199"/>
      <c r="H11" s="160"/>
      <c r="I11" s="83"/>
      <c r="J11" s="4"/>
    </row>
    <row r="12" spans="1:10" ht="12.75">
      <c r="A12" s="81" t="s">
        <v>278</v>
      </c>
      <c r="B12" s="168">
        <v>0</v>
      </c>
      <c r="C12" s="83" t="str">
        <f>IF(ISERROR(D12/B12),"n/a",D12/B12)</f>
        <v>n/a</v>
      </c>
      <c r="D12" s="52">
        <v>0</v>
      </c>
      <c r="E12" s="198"/>
      <c r="F12" s="54">
        <v>1.5205589342948984</v>
      </c>
      <c r="G12" s="199"/>
      <c r="H12" s="52">
        <f>F12*D12</f>
        <v>0</v>
      </c>
      <c r="I12" s="83" t="str">
        <f>IF(ISERROR(H12/B12),"n/a",H12/B12)</f>
        <v>n/a</v>
      </c>
      <c r="J12" s="4"/>
    </row>
    <row r="13" spans="1:10" ht="12.75">
      <c r="A13" s="81" t="s">
        <v>274</v>
      </c>
      <c r="B13" s="168">
        <v>263.12890341058977</v>
      </c>
      <c r="C13" s="83">
        <f>IF(ISERROR(D13/B13),"n/a",D13/B13)</f>
        <v>0.13333142777742918</v>
      </c>
      <c r="D13" s="52">
        <v>35.08335238124319</v>
      </c>
      <c r="E13" s="198"/>
      <c r="F13" s="54">
        <v>1.5205589342948984</v>
      </c>
      <c r="G13" s="199"/>
      <c r="H13" s="52">
        <f>F13*D13</f>
        <v>53.34630490831553</v>
      </c>
      <c r="I13" s="83">
        <f>IF(ISERROR(H13/B13),"n/a",H13/B13)</f>
        <v>0.20273829372926494</v>
      </c>
      <c r="J13" s="4"/>
    </row>
    <row r="14" spans="1:10" ht="12.75">
      <c r="A14" s="81" t="s">
        <v>445</v>
      </c>
      <c r="B14" s="168">
        <f>SUM(B12:B13)</f>
        <v>263.12890341058977</v>
      </c>
      <c r="C14" s="83">
        <f>IF(ISERROR(D14/B14),"n/a",D14/B14)</f>
        <v>0.13333142777742918</v>
      </c>
      <c r="D14" s="52">
        <f>SUM(D12:D13)</f>
        <v>35.08335238124319</v>
      </c>
      <c r="E14" s="198"/>
      <c r="F14" s="199"/>
      <c r="G14" s="199"/>
      <c r="H14" s="52">
        <f>SUM(H12:H13)</f>
        <v>53.34630490831553</v>
      </c>
      <c r="I14" s="83">
        <f>IF(ISERROR(H14/B14),"n/a",H14/B14)</f>
        <v>0.20273829372926494</v>
      </c>
      <c r="J14" s="4"/>
    </row>
    <row r="15" spans="1:10" ht="12.75">
      <c r="A15" s="81"/>
      <c r="B15" s="168"/>
      <c r="C15" s="83"/>
      <c r="D15" s="189"/>
      <c r="E15" s="198"/>
      <c r="F15" s="199"/>
      <c r="G15" s="199"/>
      <c r="H15" s="160"/>
      <c r="I15" s="83"/>
      <c r="J15" s="4"/>
    </row>
    <row r="16" spans="1:10" ht="12.75">
      <c r="A16" s="49" t="s">
        <v>449</v>
      </c>
      <c r="B16" s="168"/>
      <c r="C16" s="83"/>
      <c r="D16" s="189"/>
      <c r="E16" s="198"/>
      <c r="F16" s="199"/>
      <c r="G16" s="199"/>
      <c r="H16" s="160"/>
      <c r="I16" s="83"/>
      <c r="J16" s="4"/>
    </row>
    <row r="17" spans="1:10" ht="12.75">
      <c r="A17" s="12" t="s">
        <v>278</v>
      </c>
      <c r="C17" s="83"/>
      <c r="I17" s="22"/>
      <c r="J17" s="11"/>
    </row>
    <row r="18" spans="1:9" s="11" customFormat="1" ht="12.75">
      <c r="A18" s="21" t="s">
        <v>148</v>
      </c>
      <c r="B18" s="53">
        <v>0</v>
      </c>
      <c r="C18" s="83" t="str">
        <f>IF(ISERROR(D18/B18),"n/a",D18/B18)</f>
        <v>n/a</v>
      </c>
      <c r="D18" s="52">
        <v>0</v>
      </c>
      <c r="F18" s="72">
        <v>1.5205589342948984</v>
      </c>
      <c r="G18" s="23"/>
      <c r="H18" s="52">
        <f>F18*D18</f>
        <v>0</v>
      </c>
      <c r="I18" s="83" t="str">
        <f>IF(ISERROR(H18/B18),"n/a",H18/B18)</f>
        <v>n/a</v>
      </c>
    </row>
    <row r="19" spans="1:9" s="11" customFormat="1" ht="12.75">
      <c r="A19" s="21" t="s">
        <v>149</v>
      </c>
      <c r="B19" s="53">
        <v>252.76956272890595</v>
      </c>
      <c r="C19" s="83">
        <f>IF(ISERROR(D19/B19),"n/a",D19/B19)</f>
        <v>0.1276902348068737</v>
      </c>
      <c r="D19" s="52">
        <v>32.27620481688479</v>
      </c>
      <c r="F19" s="72">
        <v>1.5205589342948984</v>
      </c>
      <c r="G19" s="23"/>
      <c r="H19" s="52">
        <f>F19*D19</f>
        <v>49.077871599446205</v>
      </c>
      <c r="I19" s="83">
        <f>IF(ISERROR(H19/B19),"n/a",H19/B19)</f>
        <v>0.1941605273578052</v>
      </c>
    </row>
    <row r="20" spans="1:10" s="11" customFormat="1" ht="12.75">
      <c r="A20" s="25" t="s">
        <v>150</v>
      </c>
      <c r="B20" s="168">
        <f>SUM(B18:B19)</f>
        <v>252.76956272890595</v>
      </c>
      <c r="C20" s="83">
        <f>IF(ISERROR(D20/B20),"n/a",D20/B20)</f>
        <v>0.1276902348068737</v>
      </c>
      <c r="D20" s="52">
        <f>SUM(D18:D19)</f>
        <v>32.27620481688479</v>
      </c>
      <c r="F20" s="72"/>
      <c r="G20" s="23"/>
      <c r="H20" s="52">
        <f>SUM(H18:H19)</f>
        <v>49.077871599446205</v>
      </c>
      <c r="I20" s="83">
        <f>IF(ISERROR(H20/B20),"n/a",H20/B20)</f>
        <v>0.1941605273578052</v>
      </c>
      <c r="J20" s="25"/>
    </row>
    <row r="21" spans="1:9" s="11" customFormat="1" ht="12.75">
      <c r="A21" s="21"/>
      <c r="B21" s="53"/>
      <c r="C21" s="83"/>
      <c r="D21" s="52"/>
      <c r="F21" s="72"/>
      <c r="G21" s="23"/>
      <c r="H21" s="42"/>
      <c r="I21" s="86"/>
    </row>
    <row r="22" spans="1:9" ht="12.75">
      <c r="A22" s="12" t="s">
        <v>280</v>
      </c>
      <c r="C22" s="83"/>
      <c r="D22" s="52"/>
      <c r="H22" s="165"/>
      <c r="I22" s="22"/>
    </row>
    <row r="23" spans="1:9" ht="12.75">
      <c r="A23" s="21" t="s">
        <v>148</v>
      </c>
      <c r="B23" s="53">
        <v>1058.3832347130647</v>
      </c>
      <c r="C23" s="83">
        <f>IF(ISERROR(D23/B23),"n/a",D23/B23)</f>
        <v>0.269791235672705</v>
      </c>
      <c r="D23" s="52">
        <v>285.5425207085123</v>
      </c>
      <c r="E23" s="11"/>
      <c r="F23" s="72">
        <v>1.5205589342948984</v>
      </c>
      <c r="G23" s="23"/>
      <c r="H23" s="52">
        <f>F23*D23</f>
        <v>434.18423098441446</v>
      </c>
      <c r="I23" s="83">
        <f>IF(ISERROR(H23/B23),"n/a",H23/B23)</f>
        <v>0.41023347379659214</v>
      </c>
    </row>
    <row r="24" spans="1:9" ht="12.75">
      <c r="A24" s="21" t="s">
        <v>149</v>
      </c>
      <c r="B24" s="53">
        <v>3169.0804741053303</v>
      </c>
      <c r="C24" s="83">
        <f>IF(ISERROR(D24/B24),"n/a",D24/B24)</f>
        <v>0.12769023480687366</v>
      </c>
      <c r="D24" s="52">
        <v>404.66062986038816</v>
      </c>
      <c r="E24" s="11"/>
      <c r="F24" s="72">
        <v>1.5205589342948984</v>
      </c>
      <c r="G24" s="23"/>
      <c r="H24" s="52">
        <f>F24*D24</f>
        <v>615.3103360916142</v>
      </c>
      <c r="I24" s="83">
        <f>IF(ISERROR(H24/B24),"n/a",H24/B24)</f>
        <v>0.19416052735780517</v>
      </c>
    </row>
    <row r="25" spans="1:9" ht="12.75">
      <c r="A25" s="25" t="s">
        <v>151</v>
      </c>
      <c r="B25" s="168">
        <f>SUM(B23:B24)</f>
        <v>4227.463708818395</v>
      </c>
      <c r="C25" s="83">
        <f>IF(ISERROR(D25/B25),"n/a",D25/B25)</f>
        <v>0.16326648745183833</v>
      </c>
      <c r="D25" s="52">
        <f>SUM(D23:D24)</f>
        <v>690.2031505689005</v>
      </c>
      <c r="E25" s="11"/>
      <c r="F25" s="72"/>
      <c r="G25" s="23"/>
      <c r="H25" s="52">
        <f>SUM(H23:H24)</f>
        <v>1049.4945670760287</v>
      </c>
      <c r="I25" s="83">
        <f>IF(ISERROR(H25/B25),"n/a",H25/B25)</f>
        <v>0.2482563161658387</v>
      </c>
    </row>
    <row r="26" spans="3:9" ht="12.75">
      <c r="C26" s="83"/>
      <c r="D26" s="52"/>
      <c r="H26" s="165"/>
      <c r="I26" s="22"/>
    </row>
    <row r="27" spans="1:9" ht="12.75">
      <c r="A27" s="15" t="s">
        <v>225</v>
      </c>
      <c r="B27" s="6">
        <f>SUM(B9,B14,B20,B25)</f>
        <v>6740.003789311839</v>
      </c>
      <c r="C27" s="83">
        <f>IF(ISERROR(D27/B27),"n/a",D27/B27)</f>
        <v>0.1123979646670757</v>
      </c>
      <c r="D27" s="52">
        <f>SUM(D9,D14,D20,D25)</f>
        <v>757.5627077670284</v>
      </c>
      <c r="F27" s="72"/>
      <c r="H27" s="52">
        <f>SUM(H9,H14,H20,H25)</f>
        <v>1151.9187435837905</v>
      </c>
      <c r="I27" s="83">
        <f>IF(ISERROR(H27/B27),"n/a",H27/B27)</f>
        <v>0.1709077293710843</v>
      </c>
    </row>
    <row r="28" ht="12.75" hidden="1">
      <c r="D28" s="22"/>
    </row>
    <row r="29" spans="1:9" ht="12.75" hidden="1">
      <c r="A29" s="547" t="s">
        <v>191</v>
      </c>
      <c r="B29" s="133">
        <v>0</v>
      </c>
      <c r="C29" s="133">
        <v>0</v>
      </c>
      <c r="D29" s="133">
        <v>0</v>
      </c>
      <c r="F29" s="134"/>
      <c r="H29" s="133">
        <f>H27/D27-F24</f>
        <v>0</v>
      </c>
      <c r="I29" s="133">
        <f>I27/C27-F24</f>
        <v>0</v>
      </c>
    </row>
    <row r="30" spans="1:4" ht="12.75">
      <c r="A30" s="283"/>
      <c r="B30" s="283"/>
      <c r="C30" s="283"/>
      <c r="D30" s="283"/>
    </row>
    <row r="31" ht="12.75">
      <c r="A31" t="s">
        <v>235</v>
      </c>
    </row>
    <row r="32" ht="12.75">
      <c r="A32" s="25" t="s">
        <v>800</v>
      </c>
    </row>
    <row r="33" ht="12.75">
      <c r="A33" s="25" t="s">
        <v>795</v>
      </c>
    </row>
    <row r="34" ht="12.75">
      <c r="A34" s="12" t="s">
        <v>450</v>
      </c>
    </row>
    <row r="35" ht="12.75">
      <c r="A35" s="12" t="s">
        <v>665</v>
      </c>
    </row>
    <row r="36" spans="1:9" ht="12.75">
      <c r="A36" s="27"/>
      <c r="B36" s="27"/>
      <c r="C36" s="27"/>
      <c r="D36" s="27"/>
      <c r="E36" s="27"/>
      <c r="F36" s="27"/>
      <c r="G36" s="27"/>
      <c r="H36" s="27"/>
      <c r="I36" s="2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sheetPr codeName="Sheet48">
    <pageSetUpPr fitToPage="1"/>
  </sheetPr>
  <dimension ref="A1:J25"/>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4" width="11.7109375" style="11" customWidth="1"/>
    <col min="5" max="5" width="2.7109375" style="11" customWidth="1"/>
    <col min="6" max="6" width="11.7109375" style="11" customWidth="1"/>
    <col min="7" max="7" width="2.7109375" style="11" customWidth="1"/>
    <col min="8" max="9" width="11.7109375" style="11" customWidth="1"/>
    <col min="10" max="16384" width="9.140625" style="11" customWidth="1"/>
  </cols>
  <sheetData>
    <row r="1" ht="15">
      <c r="A1" s="158" t="s">
        <v>713</v>
      </c>
    </row>
    <row r="2" ht="15">
      <c r="A2" s="158" t="s">
        <v>787</v>
      </c>
    </row>
    <row r="3" spans="1:9" s="4" customFormat="1" ht="25.5">
      <c r="A3" s="16" t="s">
        <v>155</v>
      </c>
      <c r="B3" s="168" t="s">
        <v>250</v>
      </c>
      <c r="C3" s="183" t="s">
        <v>104</v>
      </c>
      <c r="D3" s="189" t="s">
        <v>249</v>
      </c>
      <c r="E3" s="161"/>
      <c r="F3" s="160" t="s">
        <v>246</v>
      </c>
      <c r="G3" s="159"/>
      <c r="H3" s="159" t="s">
        <v>133</v>
      </c>
      <c r="I3" s="41" t="s">
        <v>158</v>
      </c>
    </row>
    <row r="4" spans="1:9" ht="12.75">
      <c r="A4" s="21" t="s">
        <v>153</v>
      </c>
      <c r="B4" s="184">
        <v>1310.8845901018763</v>
      </c>
      <c r="C4" s="186">
        <f>D4/B4</f>
        <v>0.4252551627557397</v>
      </c>
      <c r="D4" s="191">
        <v>557.4604397177645</v>
      </c>
      <c r="E4" s="192"/>
      <c r="F4" s="192">
        <v>3.2543215200593516</v>
      </c>
      <c r="G4" s="192"/>
      <c r="H4" s="186">
        <f>C4*F4</f>
        <v>1.3839170276723458</v>
      </c>
      <c r="I4" s="211">
        <f>B4/B$4*H4</f>
        <v>1.3839170276723458</v>
      </c>
    </row>
    <row r="5" spans="1:9" ht="12.75">
      <c r="A5" s="101" t="s">
        <v>152</v>
      </c>
      <c r="B5" s="184">
        <v>1310.8845901018763</v>
      </c>
      <c r="C5" s="186">
        <f>D5/B5</f>
        <v>0.28982899369477677</v>
      </c>
      <c r="D5" s="191">
        <v>379.93236159921673</v>
      </c>
      <c r="E5" s="194"/>
      <c r="F5" s="192">
        <v>3.2543215200593516</v>
      </c>
      <c r="G5" s="195"/>
      <c r="H5" s="186">
        <f>C5*F5</f>
        <v>0.9431967313180581</v>
      </c>
      <c r="I5" s="211">
        <f>B5/B$4*H5</f>
        <v>0.9431967313180581</v>
      </c>
    </row>
    <row r="6" spans="2:9" ht="12.75">
      <c r="B6" s="194"/>
      <c r="C6" s="211"/>
      <c r="D6" s="191"/>
      <c r="E6" s="194"/>
      <c r="F6" s="195"/>
      <c r="G6" s="195"/>
      <c r="H6" s="186"/>
      <c r="I6" s="211"/>
    </row>
    <row r="7" spans="1:10" ht="12.75">
      <c r="A7" s="91" t="s">
        <v>163</v>
      </c>
      <c r="B7" s="194"/>
      <c r="C7" s="211"/>
      <c r="D7" s="191"/>
      <c r="E7" s="194"/>
      <c r="F7" s="195"/>
      <c r="G7" s="195"/>
      <c r="H7" s="186"/>
      <c r="I7" s="186">
        <f>SUM(I4:I5)</f>
        <v>2.327113758990404</v>
      </c>
      <c r="J7" s="25"/>
    </row>
    <row r="8" spans="2:9" ht="12.75">
      <c r="B8" s="194"/>
      <c r="C8" s="211"/>
      <c r="D8" s="191"/>
      <c r="E8" s="194"/>
      <c r="F8" s="195"/>
      <c r="G8" s="195"/>
      <c r="H8" s="186"/>
      <c r="I8" s="211"/>
    </row>
    <row r="9" spans="1:9" ht="12.75">
      <c r="A9" s="5" t="s">
        <v>157</v>
      </c>
      <c r="B9" s="47"/>
      <c r="C9" s="211"/>
      <c r="D9" s="212"/>
      <c r="E9" s="47"/>
      <c r="F9" s="47"/>
      <c r="G9" s="47"/>
      <c r="H9" s="211"/>
      <c r="I9" s="211"/>
    </row>
    <row r="10" spans="1:9" ht="12.75">
      <c r="A10" s="21" t="s">
        <v>153</v>
      </c>
      <c r="B10" s="184">
        <v>14394.841943502975</v>
      </c>
      <c r="C10" s="186">
        <f>D10/B10</f>
        <v>0.4252551627557399</v>
      </c>
      <c r="D10" s="191">
        <v>6121.480853527509</v>
      </c>
      <c r="E10" s="47"/>
      <c r="F10" s="192">
        <v>3.2543215200593516</v>
      </c>
      <c r="G10" s="47"/>
      <c r="H10" s="186">
        <f>C10*F10</f>
        <v>1.3839170276723465</v>
      </c>
      <c r="I10" s="211">
        <f>B10/B$10*H10</f>
        <v>1.3839170276723465</v>
      </c>
    </row>
    <row r="11" spans="1:9" ht="12.75">
      <c r="A11" s="101" t="s">
        <v>152</v>
      </c>
      <c r="B11" s="184">
        <v>14394.841943502975</v>
      </c>
      <c r="C11" s="186">
        <f>D11/B11</f>
        <v>0.28982899369477694</v>
      </c>
      <c r="D11" s="191">
        <v>4172.042554880834</v>
      </c>
      <c r="E11" s="47"/>
      <c r="F11" s="192">
        <v>3.2543215200593516</v>
      </c>
      <c r="G11" s="47"/>
      <c r="H11" s="186">
        <f>C11*F11</f>
        <v>0.9431967313180587</v>
      </c>
      <c r="I11" s="211">
        <f>B11/B$10*H11</f>
        <v>0.9431967313180587</v>
      </c>
    </row>
    <row r="12" spans="2:9" ht="12.75">
      <c r="B12" s="47"/>
      <c r="C12" s="47"/>
      <c r="D12" s="47"/>
      <c r="E12" s="47"/>
      <c r="F12" s="47"/>
      <c r="G12" s="47"/>
      <c r="H12" s="47"/>
      <c r="I12" s="211"/>
    </row>
    <row r="13" spans="1:9" ht="12.75">
      <c r="A13" s="91" t="s">
        <v>266</v>
      </c>
      <c r="B13" s="47"/>
      <c r="C13" s="47"/>
      <c r="D13" s="47"/>
      <c r="E13" s="47"/>
      <c r="F13" s="47"/>
      <c r="G13" s="47"/>
      <c r="H13" s="47"/>
      <c r="I13" s="186">
        <f>SUM(I10:I11)</f>
        <v>2.3271137589904054</v>
      </c>
    </row>
    <row r="14" ht="12.75" hidden="1"/>
    <row r="15" spans="2:6" ht="12.75" hidden="1">
      <c r="B15" s="549" t="s">
        <v>188</v>
      </c>
      <c r="C15" s="128">
        <v>0</v>
      </c>
      <c r="D15" s="128">
        <v>0</v>
      </c>
      <c r="F15" s="128">
        <f>(I7*B4+I13*B10)-SUM(D4:D5,D10:D11)*F4</f>
        <v>0</v>
      </c>
    </row>
    <row r="16" spans="2:6" ht="12.75" hidden="1">
      <c r="B16" s="549" t="s">
        <v>188</v>
      </c>
      <c r="C16" s="128">
        <v>0</v>
      </c>
      <c r="D16" s="128">
        <v>0</v>
      </c>
      <c r="F16" s="53"/>
    </row>
    <row r="17" spans="2:4" ht="12.75" hidden="1">
      <c r="B17" s="549" t="s">
        <v>188</v>
      </c>
      <c r="C17" s="128"/>
      <c r="D17" s="128">
        <v>0</v>
      </c>
    </row>
    <row r="18" spans="2:4" ht="12.75" hidden="1">
      <c r="B18" s="549" t="s">
        <v>188</v>
      </c>
      <c r="C18" s="128">
        <v>0</v>
      </c>
      <c r="D18" s="128">
        <v>0</v>
      </c>
    </row>
    <row r="19" spans="2:4" ht="12.75" hidden="1">
      <c r="B19" s="549" t="s">
        <v>188</v>
      </c>
      <c r="C19" s="128">
        <v>0</v>
      </c>
      <c r="D19" s="128">
        <v>0</v>
      </c>
    </row>
    <row r="20" spans="2:4" ht="12.75" hidden="1">
      <c r="B20" s="549" t="s">
        <v>188</v>
      </c>
      <c r="C20" s="128"/>
      <c r="D20" s="128">
        <v>0</v>
      </c>
    </row>
    <row r="21" spans="1:4" ht="12.75" hidden="1">
      <c r="A21" s="4"/>
      <c r="B21" s="550" t="s">
        <v>188</v>
      </c>
      <c r="C21" s="139">
        <f>C4-C10</f>
        <v>0</v>
      </c>
      <c r="D21" s="139">
        <f>C5-C11</f>
        <v>0</v>
      </c>
    </row>
    <row r="22" spans="1:4" ht="12.75">
      <c r="A22" s="141"/>
      <c r="B22" s="295"/>
      <c r="C22" s="296"/>
      <c r="D22" s="296"/>
    </row>
    <row r="23" ht="12.75">
      <c r="A23" s="11" t="s">
        <v>235</v>
      </c>
    </row>
    <row r="24" ht="12.75">
      <c r="A24" s="25" t="s">
        <v>814</v>
      </c>
    </row>
    <row r="25" ht="12.75">
      <c r="A25"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sheetPr codeName="Sheet50">
    <pageSetUpPr fitToPage="1"/>
  </sheetPr>
  <dimension ref="A1:J39"/>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63" customWidth="1"/>
    <col min="3" max="3" width="11.7109375" style="64" customWidth="1"/>
    <col min="4" max="4" width="11.7109375" style="77" customWidth="1"/>
    <col min="5" max="5" width="2.57421875" style="11" customWidth="1"/>
    <col min="6" max="6" width="11.7109375" style="11" customWidth="1"/>
    <col min="7" max="7" width="2.57421875" style="11" customWidth="1"/>
    <col min="8" max="9" width="11.7109375" style="11" customWidth="1"/>
    <col min="10" max="16384" width="9.140625" style="11" customWidth="1"/>
  </cols>
  <sheetData>
    <row r="1" ht="15">
      <c r="A1" s="158" t="s">
        <v>714</v>
      </c>
    </row>
    <row r="2" ht="15">
      <c r="A2" s="158" t="s">
        <v>787</v>
      </c>
    </row>
    <row r="3" spans="2:9" s="4" customFormat="1" ht="25.5">
      <c r="B3" s="168" t="s">
        <v>250</v>
      </c>
      <c r="C3" s="183" t="s">
        <v>104</v>
      </c>
      <c r="D3" s="189" t="s">
        <v>249</v>
      </c>
      <c r="E3" s="161"/>
      <c r="F3" s="160" t="s">
        <v>246</v>
      </c>
      <c r="G3" s="159"/>
      <c r="H3" s="159" t="s">
        <v>133</v>
      </c>
      <c r="I3" s="41" t="s">
        <v>158</v>
      </c>
    </row>
    <row r="4" spans="1:8" ht="12.75">
      <c r="A4" s="16" t="s">
        <v>155</v>
      </c>
      <c r="B4" s="50"/>
      <c r="C4" s="38"/>
      <c r="E4" s="4"/>
      <c r="F4" s="4"/>
      <c r="G4" s="4"/>
      <c r="H4" s="38"/>
    </row>
    <row r="5" spans="1:9" ht="12.75">
      <c r="A5" s="97" t="s">
        <v>156</v>
      </c>
      <c r="B5" s="184">
        <v>971.0954346688156</v>
      </c>
      <c r="C5" s="186">
        <f>D5/B5</f>
        <v>0.3129832413611652</v>
      </c>
      <c r="D5" s="191">
        <v>303.9365968136755</v>
      </c>
      <c r="E5" s="188"/>
      <c r="F5" s="192">
        <v>1.37715102157782</v>
      </c>
      <c r="G5" s="192"/>
      <c r="H5" s="186">
        <f>C5*F5</f>
        <v>0.431025190577266</v>
      </c>
      <c r="I5" s="211">
        <f>H5*B5/$B$5</f>
        <v>0.431025190577266</v>
      </c>
    </row>
    <row r="6" spans="1:9" ht="12.75">
      <c r="A6" s="97" t="s">
        <v>160</v>
      </c>
      <c r="B6" s="184"/>
      <c r="C6" s="186"/>
      <c r="D6" s="191"/>
      <c r="E6" s="188"/>
      <c r="F6" s="192"/>
      <c r="G6" s="192"/>
      <c r="H6" s="186"/>
      <c r="I6" s="211"/>
    </row>
    <row r="7" spans="1:9" ht="12.75">
      <c r="A7" s="99" t="s">
        <v>161</v>
      </c>
      <c r="B7" s="184">
        <v>69.78575584374481</v>
      </c>
      <c r="C7" s="186">
        <f>D7/B7</f>
        <v>0.3315157741580493</v>
      </c>
      <c r="D7" s="191">
        <v>23.135078873743673</v>
      </c>
      <c r="E7" s="188"/>
      <c r="F7" s="192">
        <v>1.37715102157782</v>
      </c>
      <c r="G7" s="192"/>
      <c r="H7" s="186">
        <f>C7*F7</f>
        <v>0.4565472870509194</v>
      </c>
      <c r="I7" s="211">
        <f>H7*B7/$B$5</f>
        <v>0.03280882225146626</v>
      </c>
    </row>
    <row r="8" spans="1:9" ht="12.75">
      <c r="A8" s="99" t="s">
        <v>162</v>
      </c>
      <c r="B8" s="184">
        <v>561.5205233920101</v>
      </c>
      <c r="C8" s="186">
        <f>D8/B8</f>
        <v>0.3315157741580494</v>
      </c>
      <c r="D8" s="191">
        <v>186.1529110179353</v>
      </c>
      <c r="E8" s="188"/>
      <c r="F8" s="192">
        <v>1.37715102157782</v>
      </c>
      <c r="G8" s="192"/>
      <c r="H8" s="186">
        <f>C8*F8</f>
        <v>0.45654728705091957</v>
      </c>
      <c r="I8" s="211">
        <f>H8*B8/$B$5</f>
        <v>0.2639912231339697</v>
      </c>
    </row>
    <row r="9" spans="1:9" ht="12.75">
      <c r="A9" s="100" t="s">
        <v>159</v>
      </c>
      <c r="B9" s="184">
        <v>339.78915543306067</v>
      </c>
      <c r="C9" s="186">
        <f>D9/B9</f>
        <v>0.33151577415804934</v>
      </c>
      <c r="D9" s="191">
        <v>112.64546491390087</v>
      </c>
      <c r="E9" s="188"/>
      <c r="F9" s="192">
        <v>1.37715102157782</v>
      </c>
      <c r="G9" s="192"/>
      <c r="H9" s="186">
        <f>C9*F9</f>
        <v>0.4565472870509195</v>
      </c>
      <c r="I9" s="211">
        <f>H9*B9/$B$5</f>
        <v>0.1597472416654835</v>
      </c>
    </row>
    <row r="10" spans="1:9" ht="12.75">
      <c r="A10" s="100"/>
      <c r="B10" s="184"/>
      <c r="C10" s="186"/>
      <c r="D10" s="191"/>
      <c r="E10" s="188"/>
      <c r="F10" s="192"/>
      <c r="G10" s="192"/>
      <c r="H10" s="186"/>
      <c r="I10" s="211"/>
    </row>
    <row r="11" spans="1:10" ht="12.75">
      <c r="A11" s="91" t="s">
        <v>163</v>
      </c>
      <c r="B11" s="213"/>
      <c r="C11" s="187"/>
      <c r="D11" s="191"/>
      <c r="E11" s="188"/>
      <c r="F11" s="195"/>
      <c r="G11" s="195"/>
      <c r="H11" s="211"/>
      <c r="I11" s="211">
        <f>SUM(I5:I9)</f>
        <v>0.8875724776281855</v>
      </c>
      <c r="J11" s="25"/>
    </row>
    <row r="12" spans="1:9" ht="12.75">
      <c r="A12" s="4"/>
      <c r="B12" s="213"/>
      <c r="C12" s="187"/>
      <c r="D12" s="191"/>
      <c r="E12" s="188"/>
      <c r="F12" s="195"/>
      <c r="G12" s="195"/>
      <c r="H12" s="211"/>
      <c r="I12" s="211"/>
    </row>
    <row r="13" spans="1:9" ht="12.75">
      <c r="A13" s="5" t="s">
        <v>157</v>
      </c>
      <c r="B13" s="213"/>
      <c r="C13" s="187"/>
      <c r="D13" s="191"/>
      <c r="E13" s="188"/>
      <c r="F13" s="195"/>
      <c r="G13" s="195"/>
      <c r="H13" s="211"/>
      <c r="I13" s="211"/>
    </row>
    <row r="14" spans="1:9" ht="12.75">
      <c r="A14" s="97" t="s">
        <v>156</v>
      </c>
      <c r="B14" s="184">
        <v>10750.620612287354</v>
      </c>
      <c r="C14" s="186">
        <f>D14/B14</f>
        <v>0.3129832413611654</v>
      </c>
      <c r="D14" s="191">
        <v>3364.7640858778527</v>
      </c>
      <c r="E14" s="188"/>
      <c r="F14" s="192">
        <v>1.37715102157782</v>
      </c>
      <c r="G14" s="192"/>
      <c r="H14" s="186">
        <f>C14*F14</f>
        <v>0.43102519057726635</v>
      </c>
      <c r="I14" s="211">
        <f>B14/$B$14*H14</f>
        <v>0.43102519057726635</v>
      </c>
    </row>
    <row r="15" spans="1:9" ht="12.75">
      <c r="A15" s="97" t="s">
        <v>160</v>
      </c>
      <c r="B15" s="214"/>
      <c r="C15" s="211"/>
      <c r="D15" s="212"/>
      <c r="E15" s="47"/>
      <c r="F15" s="47"/>
      <c r="G15" s="47"/>
      <c r="H15" s="211"/>
      <c r="I15" s="211"/>
    </row>
    <row r="16" spans="1:9" ht="12.75">
      <c r="A16" s="99" t="s">
        <v>161</v>
      </c>
      <c r="B16" s="184">
        <v>6377.929545526061</v>
      </c>
      <c r="C16" s="186">
        <f>D16/B16</f>
        <v>0.3315157741580495</v>
      </c>
      <c r="D16" s="191">
        <v>2114.384250810569</v>
      </c>
      <c r="E16" s="188"/>
      <c r="F16" s="192">
        <v>1.37715102157782</v>
      </c>
      <c r="G16" s="192"/>
      <c r="H16" s="186">
        <f>C16*F16</f>
        <v>0.45654728705091974</v>
      </c>
      <c r="I16" s="211">
        <f>B16/$B$14*H16</f>
        <v>0.2708519383228699</v>
      </c>
    </row>
    <row r="17" spans="1:9" ht="12.75">
      <c r="A17" s="99" t="s">
        <v>162</v>
      </c>
      <c r="B17" s="184">
        <v>728.4697355456708</v>
      </c>
      <c r="C17" s="186">
        <f>D17/B17</f>
        <v>0.3315157741580496</v>
      </c>
      <c r="D17" s="191">
        <v>241.49920833013272</v>
      </c>
      <c r="E17" s="188"/>
      <c r="F17" s="192">
        <v>1.37715102157782</v>
      </c>
      <c r="G17" s="47"/>
      <c r="H17" s="186">
        <f>C17*F17</f>
        <v>0.4565472870509199</v>
      </c>
      <c r="I17" s="211">
        <f>B17/$B$14*H17</f>
        <v>0.030935970438948975</v>
      </c>
    </row>
    <row r="18" spans="1:9" ht="12.75">
      <c r="A18" s="100" t="s">
        <v>159</v>
      </c>
      <c r="B18" s="184">
        <v>3644.221331215622</v>
      </c>
      <c r="C18" s="186">
        <f>D18/B18</f>
        <v>0.33151577415804956</v>
      </c>
      <c r="D18" s="191">
        <v>1208.1168558212248</v>
      </c>
      <c r="E18" s="188"/>
      <c r="F18" s="192">
        <v>1.37715102157782</v>
      </c>
      <c r="G18" s="47"/>
      <c r="H18" s="186">
        <f>C18*F18</f>
        <v>0.4565472870509198</v>
      </c>
      <c r="I18" s="211">
        <f>B18/$B$14*H18</f>
        <v>0.15475937828910086</v>
      </c>
    </row>
    <row r="19" spans="1:9" ht="12.75">
      <c r="A19" s="100"/>
      <c r="B19" s="185"/>
      <c r="C19" s="185"/>
      <c r="D19" s="184"/>
      <c r="E19" s="188"/>
      <c r="F19" s="192"/>
      <c r="G19" s="47"/>
      <c r="H19" s="185"/>
      <c r="I19" s="211"/>
    </row>
    <row r="20" spans="1:9" ht="12.75">
      <c r="A20" s="91" t="s">
        <v>266</v>
      </c>
      <c r="B20" s="215"/>
      <c r="C20" s="216"/>
      <c r="D20" s="214"/>
      <c r="E20" s="47"/>
      <c r="F20" s="47"/>
      <c r="G20" s="47"/>
      <c r="H20" s="47"/>
      <c r="I20" s="211">
        <f>SUM(I14:I18)</f>
        <v>0.8875724776281861</v>
      </c>
    </row>
    <row r="21" ht="12.75" hidden="1"/>
    <row r="22" spans="2:4" ht="12.75" hidden="1">
      <c r="B22" s="549" t="s">
        <v>188</v>
      </c>
      <c r="C22" s="128">
        <v>0</v>
      </c>
      <c r="D22" s="128">
        <v>0</v>
      </c>
    </row>
    <row r="23" spans="2:4" ht="12.75" hidden="1">
      <c r="B23" s="549" t="s">
        <v>188</v>
      </c>
      <c r="C23" s="128">
        <v>0</v>
      </c>
      <c r="D23" s="128">
        <v>0</v>
      </c>
    </row>
    <row r="24" spans="2:4" ht="12.75" hidden="1">
      <c r="B24" s="549" t="s">
        <v>188</v>
      </c>
      <c r="C24" s="128">
        <v>0</v>
      </c>
      <c r="D24" s="128">
        <v>0</v>
      </c>
    </row>
    <row r="25" spans="2:4" ht="12.75" hidden="1">
      <c r="B25" s="549" t="s">
        <v>188</v>
      </c>
      <c r="C25" s="128">
        <v>0</v>
      </c>
      <c r="D25" s="128">
        <v>0</v>
      </c>
    </row>
    <row r="26" spans="2:4" ht="12.75" hidden="1">
      <c r="B26" s="549" t="s">
        <v>188</v>
      </c>
      <c r="C26" s="130"/>
      <c r="D26" s="128">
        <v>0</v>
      </c>
    </row>
    <row r="27" spans="2:4" ht="12.75" hidden="1">
      <c r="B27" s="549" t="s">
        <v>188</v>
      </c>
      <c r="C27" s="128">
        <v>0</v>
      </c>
      <c r="D27" s="128">
        <v>0</v>
      </c>
    </row>
    <row r="28" spans="2:4" ht="12.75" hidden="1">
      <c r="B28" s="549" t="s">
        <v>188</v>
      </c>
      <c r="C28" s="128">
        <v>0</v>
      </c>
      <c r="D28" s="128">
        <v>0</v>
      </c>
    </row>
    <row r="29" spans="2:4" ht="12.75" hidden="1">
      <c r="B29" s="549" t="s">
        <v>188</v>
      </c>
      <c r="C29" s="128">
        <v>0</v>
      </c>
      <c r="D29" s="128">
        <v>0</v>
      </c>
    </row>
    <row r="30" spans="2:4" ht="12.75" hidden="1">
      <c r="B30" s="549" t="s">
        <v>188</v>
      </c>
      <c r="C30" s="128">
        <v>0</v>
      </c>
      <c r="D30" s="128">
        <v>0</v>
      </c>
    </row>
    <row r="31" spans="2:4" ht="12.75" hidden="1">
      <c r="B31" s="549" t="s">
        <v>188</v>
      </c>
      <c r="C31" s="130"/>
      <c r="D31" s="128">
        <v>0</v>
      </c>
    </row>
    <row r="32" spans="2:4" ht="12.75" hidden="1">
      <c r="B32" s="550" t="s">
        <v>188</v>
      </c>
      <c r="C32" s="128">
        <f>C5-C14</f>
        <v>0</v>
      </c>
      <c r="D32" s="128">
        <f>B5-B7-B8-B9</f>
        <v>0</v>
      </c>
    </row>
    <row r="33" spans="2:4" ht="12.75" hidden="1">
      <c r="B33" s="550" t="s">
        <v>188</v>
      </c>
      <c r="C33" s="128">
        <f>C7-C16</f>
        <v>0</v>
      </c>
      <c r="D33" s="128">
        <f>B14-B16-B17-B18</f>
        <v>0</v>
      </c>
    </row>
    <row r="34" spans="2:3" ht="12.75" hidden="1">
      <c r="B34" s="550" t="s">
        <v>188</v>
      </c>
      <c r="C34" s="128">
        <f>C8-C17</f>
        <v>0</v>
      </c>
    </row>
    <row r="35" spans="2:3" ht="12.75" hidden="1">
      <c r="B35" s="550" t="s">
        <v>188</v>
      </c>
      <c r="C35" s="128">
        <f>C9-C18</f>
        <v>0</v>
      </c>
    </row>
    <row r="36" spans="1:4" ht="12.75">
      <c r="A36" s="141"/>
      <c r="B36" s="297"/>
      <c r="C36" s="293"/>
      <c r="D36" s="298"/>
    </row>
    <row r="37" ht="12.75">
      <c r="A37" s="11" t="s">
        <v>235</v>
      </c>
    </row>
    <row r="38" ht="12.75">
      <c r="A38" s="25" t="s">
        <v>814</v>
      </c>
    </row>
    <row r="39" ht="12.75">
      <c r="A39"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sheetPr codeName="Sheet51">
    <pageSetUpPr fitToPage="1"/>
  </sheetPr>
  <dimension ref="A1:K23"/>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77" customWidth="1"/>
    <col min="3" max="3" width="11.7109375" style="62" customWidth="1"/>
    <col min="4" max="4" width="11.7109375" style="63" customWidth="1"/>
    <col min="5" max="5" width="2.57421875" style="11" customWidth="1"/>
    <col min="6" max="6" width="11.7109375" style="11" customWidth="1"/>
    <col min="7" max="7" width="2.57421875" style="11" customWidth="1"/>
    <col min="8" max="8" width="11.7109375" style="64" customWidth="1"/>
    <col min="9" max="9" width="11.7109375" style="11" customWidth="1"/>
    <col min="10" max="16384" width="9.140625" style="11" customWidth="1"/>
  </cols>
  <sheetData>
    <row r="1" spans="1:8" s="24" customFormat="1" ht="15">
      <c r="A1" s="157" t="s">
        <v>715</v>
      </c>
      <c r="B1" s="93"/>
      <c r="C1" s="94"/>
      <c r="D1" s="95"/>
      <c r="H1" s="96"/>
    </row>
    <row r="2" spans="1:8" ht="15">
      <c r="A2" s="158" t="s">
        <v>787</v>
      </c>
      <c r="B2" s="73"/>
      <c r="C2" s="59"/>
      <c r="D2" s="60"/>
      <c r="E2" s="36"/>
      <c r="F2" s="36"/>
      <c r="G2" s="36"/>
      <c r="H2" s="61"/>
    </row>
    <row r="3" spans="1:9" s="4" customFormat="1" ht="25.5">
      <c r="A3" s="16" t="s">
        <v>155</v>
      </c>
      <c r="B3" s="168" t="s">
        <v>250</v>
      </c>
      <c r="C3" s="183" t="s">
        <v>104</v>
      </c>
      <c r="D3" s="189" t="s">
        <v>249</v>
      </c>
      <c r="E3" s="161"/>
      <c r="F3" s="160" t="s">
        <v>246</v>
      </c>
      <c r="G3" s="159"/>
      <c r="H3" s="159" t="s">
        <v>133</v>
      </c>
      <c r="I3" s="41" t="s">
        <v>158</v>
      </c>
    </row>
    <row r="4" spans="1:11" ht="12.75">
      <c r="A4" s="97" t="s">
        <v>154</v>
      </c>
      <c r="B4" s="7">
        <v>96.88161534831974</v>
      </c>
      <c r="C4" s="187">
        <f>D4/B4</f>
        <v>0.34009850771190137</v>
      </c>
      <c r="D4" s="193">
        <v>32.94929280468198</v>
      </c>
      <c r="E4" s="58"/>
      <c r="F4" s="192">
        <v>1.3925675110623363</v>
      </c>
      <c r="G4" s="192"/>
      <c r="H4" s="186">
        <f>C4*F4</f>
        <v>0.4736101324003773</v>
      </c>
      <c r="I4" s="187">
        <f>D4/SUM($D$4:$D$5)*H4</f>
        <v>0.13503701910027388</v>
      </c>
      <c r="J4" s="187"/>
      <c r="K4" s="63"/>
    </row>
    <row r="5" spans="1:11" ht="12.75">
      <c r="A5" s="98" t="s">
        <v>165</v>
      </c>
      <c r="B5" s="7">
        <v>242.90754008474093</v>
      </c>
      <c r="C5" s="187">
        <f>D5/B5</f>
        <v>0.3400985077119013</v>
      </c>
      <c r="D5" s="193">
        <v>82.61249189478924</v>
      </c>
      <c r="E5" s="58"/>
      <c r="F5" s="192">
        <v>1.3925675110623363</v>
      </c>
      <c r="G5" s="192"/>
      <c r="H5" s="186">
        <f>C5*F5</f>
        <v>0.4736101324003772</v>
      </c>
      <c r="I5" s="187">
        <f>D5/SUM($D$4:$D$5)*H5</f>
        <v>0.3385731133001034</v>
      </c>
      <c r="J5" s="187"/>
      <c r="K5" s="63"/>
    </row>
    <row r="6" spans="1:10" ht="12.75">
      <c r="A6" s="4"/>
      <c r="B6" s="217"/>
      <c r="C6" s="187"/>
      <c r="D6" s="191"/>
      <c r="E6" s="188"/>
      <c r="F6" s="195"/>
      <c r="G6" s="195"/>
      <c r="H6" s="186"/>
      <c r="I6" s="187"/>
      <c r="J6" s="187"/>
    </row>
    <row r="7" spans="1:10" ht="12.75">
      <c r="A7" s="91" t="s">
        <v>163</v>
      </c>
      <c r="B7" s="217"/>
      <c r="C7" s="187"/>
      <c r="D7" s="191"/>
      <c r="E7" s="188"/>
      <c r="F7" s="195"/>
      <c r="G7" s="195"/>
      <c r="H7" s="186"/>
      <c r="I7" s="187">
        <f>SUM(I4:I5)</f>
        <v>0.4736101324003773</v>
      </c>
      <c r="J7" s="286"/>
    </row>
    <row r="8" spans="1:10" ht="12.75">
      <c r="A8" s="4"/>
      <c r="B8" s="217"/>
      <c r="C8" s="187"/>
      <c r="D8" s="191"/>
      <c r="E8" s="188"/>
      <c r="F8" s="195"/>
      <c r="G8" s="195"/>
      <c r="H8" s="186"/>
      <c r="I8" s="187"/>
      <c r="J8" s="187"/>
    </row>
    <row r="9" spans="1:11" ht="12.75">
      <c r="A9" s="5" t="s">
        <v>157</v>
      </c>
      <c r="B9" s="215"/>
      <c r="C9" s="211"/>
      <c r="D9" s="212"/>
      <c r="E9" s="47"/>
      <c r="F9" s="47"/>
      <c r="G9" s="47"/>
      <c r="H9" s="211"/>
      <c r="I9" s="211"/>
      <c r="J9" s="211"/>
      <c r="K9" s="63"/>
    </row>
    <row r="10" spans="1:10" ht="12.75">
      <c r="A10" s="97" t="s">
        <v>154</v>
      </c>
      <c r="B10" s="7">
        <v>940.0058258058394</v>
      </c>
      <c r="C10" s="187">
        <f>D10/B10</f>
        <v>0.3400985077119013</v>
      </c>
      <c r="D10" s="193">
        <v>319.69457859705943</v>
      </c>
      <c r="E10" s="58"/>
      <c r="F10" s="192">
        <v>1.3925675110623363</v>
      </c>
      <c r="G10" s="192"/>
      <c r="H10" s="186">
        <f>C10*F10</f>
        <v>0.4736101324003772</v>
      </c>
      <c r="I10" s="187">
        <f>D10/SUM($D$10:$D$11)*H10</f>
        <v>0.2467749219702192</v>
      </c>
      <c r="J10" s="187"/>
    </row>
    <row r="11" spans="1:10" ht="12.75">
      <c r="A11" s="98" t="s">
        <v>165</v>
      </c>
      <c r="B11" s="7">
        <v>864.0522205411704</v>
      </c>
      <c r="C11" s="187">
        <f>D11/B11</f>
        <v>0.34009850771190125</v>
      </c>
      <c r="D11" s="193">
        <v>293.86287079120666</v>
      </c>
      <c r="E11" s="47"/>
      <c r="F11" s="192">
        <v>1.3925675110623363</v>
      </c>
      <c r="G11" s="47"/>
      <c r="H11" s="186">
        <f>C11*F11</f>
        <v>0.47361013240037714</v>
      </c>
      <c r="I11" s="187">
        <f>D11/SUM($D$10:$D$11)*H11</f>
        <v>0.2268352104301579</v>
      </c>
      <c r="J11" s="187"/>
    </row>
    <row r="12" spans="2:10" ht="12.75">
      <c r="B12" s="214"/>
      <c r="C12" s="218"/>
      <c r="D12" s="215"/>
      <c r="E12" s="47"/>
      <c r="F12" s="47"/>
      <c r="G12" s="47"/>
      <c r="H12" s="211"/>
      <c r="I12" s="211"/>
      <c r="J12" s="211"/>
    </row>
    <row r="13" spans="1:10" ht="12.75">
      <c r="A13" s="91" t="s">
        <v>266</v>
      </c>
      <c r="B13" s="214"/>
      <c r="C13" s="218"/>
      <c r="D13" s="7"/>
      <c r="E13" s="47"/>
      <c r="F13" s="47"/>
      <c r="G13" s="47"/>
      <c r="H13" s="211"/>
      <c r="I13" s="187">
        <f>SUM(I10:I11)</f>
        <v>0.4736101324003771</v>
      </c>
      <c r="J13" s="187"/>
    </row>
    <row r="14" ht="12.75" hidden="1"/>
    <row r="15" spans="2:9" ht="12.75" hidden="1">
      <c r="B15" s="549" t="s">
        <v>188</v>
      </c>
      <c r="C15" s="128">
        <v>0</v>
      </c>
      <c r="D15" s="128">
        <v>0</v>
      </c>
      <c r="I15" s="63"/>
    </row>
    <row r="16" spans="2:4" ht="12.75" hidden="1">
      <c r="B16" s="549" t="s">
        <v>188</v>
      </c>
      <c r="C16" s="128">
        <v>0</v>
      </c>
      <c r="D16" s="128">
        <v>0</v>
      </c>
    </row>
    <row r="17" spans="2:4" ht="12.75" hidden="1">
      <c r="B17" s="549" t="s">
        <v>188</v>
      </c>
      <c r="C17" s="128">
        <v>0</v>
      </c>
      <c r="D17" s="128">
        <v>0</v>
      </c>
    </row>
    <row r="18" spans="2:4" ht="12.75" hidden="1">
      <c r="B18" s="549" t="s">
        <v>188</v>
      </c>
      <c r="C18" s="128">
        <v>0</v>
      </c>
      <c r="D18" s="128">
        <v>0</v>
      </c>
    </row>
    <row r="19" spans="2:4" ht="12.75" hidden="1">
      <c r="B19" s="549" t="s">
        <v>188</v>
      </c>
      <c r="C19" s="128">
        <f>C4-C10</f>
        <v>0</v>
      </c>
      <c r="D19" s="128">
        <f>C5-C11</f>
        <v>0</v>
      </c>
    </row>
    <row r="20" spans="1:4" ht="12.75">
      <c r="A20" s="141"/>
      <c r="B20" s="298"/>
      <c r="C20" s="290"/>
      <c r="D20" s="297"/>
    </row>
    <row r="21" ht="12.75">
      <c r="A21" s="11" t="s">
        <v>235</v>
      </c>
    </row>
    <row r="22" ht="12.75">
      <c r="A22" s="25" t="s">
        <v>814</v>
      </c>
    </row>
    <row r="23" ht="12.75">
      <c r="A23"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sheetPr codeName="Sheet31">
    <pageSetUpPr fitToPage="1"/>
  </sheetPr>
  <dimension ref="A1:H22"/>
  <sheetViews>
    <sheetView zoomScale="70" zoomScaleNormal="70" zoomScalePageLayoutView="0" workbookViewId="0" topLeftCell="A1">
      <selection activeCell="A1" sqref="A1"/>
    </sheetView>
  </sheetViews>
  <sheetFormatPr defaultColWidth="9.140625" defaultRowHeight="12.75"/>
  <cols>
    <col min="1" max="1" width="33.421875" style="0" bestFit="1"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9.7109375" style="0" customWidth="1"/>
  </cols>
  <sheetData>
    <row r="1" ht="15">
      <c r="A1" s="157" t="s">
        <v>716</v>
      </c>
    </row>
    <row r="2" ht="15">
      <c r="A2" s="158" t="s">
        <v>787</v>
      </c>
    </row>
    <row r="3" ht="15">
      <c r="A3" s="454"/>
    </row>
    <row r="4" ht="12.75">
      <c r="A4" s="16" t="s">
        <v>512</v>
      </c>
    </row>
    <row r="5" spans="1:8" ht="25.5">
      <c r="A5" s="18"/>
      <c r="B5" s="168" t="s">
        <v>514</v>
      </c>
      <c r="C5" s="168"/>
      <c r="D5" s="168" t="s">
        <v>515</v>
      </c>
      <c r="E5" s="168"/>
      <c r="F5" s="168" t="s">
        <v>516</v>
      </c>
      <c r="G5" s="168"/>
      <c r="H5" s="168"/>
    </row>
    <row r="6" spans="1:7" ht="12.75">
      <c r="A6" s="25" t="s">
        <v>99</v>
      </c>
      <c r="B6" s="6">
        <v>0</v>
      </c>
      <c r="C6" s="292" t="s">
        <v>236</v>
      </c>
      <c r="D6" s="6">
        <f>F6-B6</f>
        <v>1310.8845901018763</v>
      </c>
      <c r="E6" s="6"/>
      <c r="F6" s="6">
        <f>'Table 3.32-Accounting Post Due'!B4</f>
        <v>1310.8845901018763</v>
      </c>
      <c r="G6" s="292" t="s">
        <v>238</v>
      </c>
    </row>
    <row r="7" spans="1:8" ht="12.75">
      <c r="A7" s="25" t="s">
        <v>100</v>
      </c>
      <c r="B7" s="6">
        <v>0</v>
      </c>
      <c r="C7" s="292" t="s">
        <v>236</v>
      </c>
      <c r="D7" s="6">
        <f>F7-B7</f>
        <v>971.0954346688156</v>
      </c>
      <c r="E7" s="6"/>
      <c r="F7" s="6">
        <f>'Table 3.33-Delivery Post Due'!B5</f>
        <v>971.0954346688156</v>
      </c>
      <c r="G7" s="292" t="s">
        <v>239</v>
      </c>
      <c r="H7" s="234"/>
    </row>
    <row r="8" spans="1:8" ht="12.75">
      <c r="A8" s="20" t="s">
        <v>210</v>
      </c>
      <c r="B8" s="6">
        <v>0</v>
      </c>
      <c r="C8" s="292" t="s">
        <v>236</v>
      </c>
      <c r="D8" s="324">
        <f>F8-B8</f>
        <v>339.78915543306067</v>
      </c>
      <c r="E8" s="324"/>
      <c r="F8" s="324">
        <f>SUM('Table 3.34-Window Post Due'!B4:B5)</f>
        <v>339.78915543306067</v>
      </c>
      <c r="G8" s="299" t="s">
        <v>240</v>
      </c>
      <c r="H8" s="496"/>
    </row>
    <row r="11" ht="12.75">
      <c r="A11" s="493" t="s">
        <v>513</v>
      </c>
    </row>
    <row r="12" spans="2:8" ht="25.5">
      <c r="B12" s="168" t="s">
        <v>514</v>
      </c>
      <c r="C12" s="168"/>
      <c r="D12" s="168" t="s">
        <v>515</v>
      </c>
      <c r="E12" s="168"/>
      <c r="F12" s="168" t="s">
        <v>516</v>
      </c>
      <c r="G12" s="168"/>
      <c r="H12" s="168"/>
    </row>
    <row r="13" spans="1:8" ht="12.75">
      <c r="A13" s="18"/>
      <c r="B13" s="221" t="s">
        <v>511</v>
      </c>
      <c r="C13" s="221"/>
      <c r="D13" s="221" t="s">
        <v>511</v>
      </c>
      <c r="E13" s="221"/>
      <c r="F13" s="221" t="s">
        <v>511</v>
      </c>
      <c r="G13" s="221"/>
      <c r="H13" s="495"/>
    </row>
    <row r="14" spans="1:7" ht="12.75">
      <c r="A14" s="25" t="s">
        <v>99</v>
      </c>
      <c r="B14" s="6">
        <v>5161.771480457425</v>
      </c>
      <c r="C14" s="292" t="s">
        <v>236</v>
      </c>
      <c r="D14" s="6">
        <f>F14-B14</f>
        <v>9233.070463045551</v>
      </c>
      <c r="E14" s="6"/>
      <c r="F14" s="6">
        <f>'Table 3.32-Accounting Post Due'!B10</f>
        <v>14394.841943502975</v>
      </c>
      <c r="G14" s="292" t="s">
        <v>238</v>
      </c>
    </row>
    <row r="15" spans="1:8" ht="12.75">
      <c r="A15" s="25" t="s">
        <v>100</v>
      </c>
      <c r="B15" s="6">
        <v>4272.5082045449435</v>
      </c>
      <c r="C15" s="292" t="s">
        <v>236</v>
      </c>
      <c r="D15" s="6">
        <f>F15-B15</f>
        <v>6478.11240774241</v>
      </c>
      <c r="E15" s="6"/>
      <c r="F15" s="6">
        <f>'Table 3.33-Delivery Post Due'!B14</f>
        <v>10750.620612287354</v>
      </c>
      <c r="G15" s="292" t="s">
        <v>239</v>
      </c>
      <c r="H15" s="234"/>
    </row>
    <row r="16" spans="1:8" ht="12.75">
      <c r="A16" s="20" t="s">
        <v>210</v>
      </c>
      <c r="B16" s="6">
        <v>490.5659863547917</v>
      </c>
      <c r="C16" s="292" t="s">
        <v>236</v>
      </c>
      <c r="D16" s="324">
        <f>F16-B16</f>
        <v>1313.4920599922182</v>
      </c>
      <c r="E16" s="324"/>
      <c r="F16" s="324">
        <f>SUM('Table 3.34-Window Post Due'!B10:B11)</f>
        <v>1804.0580463470098</v>
      </c>
      <c r="G16" s="299" t="s">
        <v>240</v>
      </c>
      <c r="H16" s="496"/>
    </row>
    <row r="17" spans="1:4" ht="12.75">
      <c r="A17" s="141"/>
      <c r="B17" s="298"/>
      <c r="C17" s="290"/>
      <c r="D17" s="297"/>
    </row>
    <row r="18" spans="1:4" ht="12.75">
      <c r="A18" s="11" t="s">
        <v>235</v>
      </c>
      <c r="B18" s="77"/>
      <c r="C18" s="62"/>
      <c r="D18" s="63"/>
    </row>
    <row r="19" spans="1:4" ht="12.75">
      <c r="A19" s="25" t="s">
        <v>815</v>
      </c>
      <c r="B19" s="77"/>
      <c r="C19" s="62"/>
      <c r="D19" s="63"/>
    </row>
    <row r="20" spans="1:4" ht="12.75">
      <c r="A20" s="25" t="s">
        <v>701</v>
      </c>
      <c r="B20" s="77"/>
      <c r="C20" s="62"/>
      <c r="D20" s="63"/>
    </row>
    <row r="21" ht="12.75">
      <c r="A21" s="25" t="s">
        <v>702</v>
      </c>
    </row>
    <row r="22" ht="12.75">
      <c r="A22" s="25" t="s">
        <v>703</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sheetPr codeName="Sheet39">
    <pageSetUpPr fitToPage="1"/>
  </sheetPr>
  <dimension ref="A1:J24"/>
  <sheetViews>
    <sheetView zoomScale="70" zoomScaleNormal="70" zoomScalePageLayoutView="0" workbookViewId="0" topLeftCell="A1">
      <selection activeCell="A1" sqref="A1"/>
    </sheetView>
  </sheetViews>
  <sheetFormatPr defaultColWidth="9.140625" defaultRowHeight="12.75"/>
  <cols>
    <col min="1" max="1" width="39.421875" style="18" bestFit="1" customWidth="1"/>
    <col min="2" max="2" width="8.140625" style="18" customWidth="1"/>
    <col min="3" max="3" width="2.7109375" style="18" customWidth="1"/>
    <col min="4" max="4" width="8.7109375" style="18" customWidth="1"/>
    <col min="5" max="5" width="2.7109375" style="18" customWidth="1"/>
    <col min="6" max="6" width="11.7109375" style="18" customWidth="1"/>
    <col min="7" max="7" width="2.7109375" style="18" customWidth="1"/>
    <col min="8" max="8" width="11.7109375" style="18" customWidth="1"/>
    <col min="9" max="9" width="2.7109375" style="18" customWidth="1"/>
    <col min="10" max="10" width="11.7109375" style="18" customWidth="1"/>
    <col min="11" max="16384" width="9.140625" style="18" customWidth="1"/>
  </cols>
  <sheetData>
    <row r="1" ht="15">
      <c r="A1" s="157" t="s">
        <v>717</v>
      </c>
    </row>
    <row r="2" ht="15">
      <c r="A2" s="158" t="s">
        <v>787</v>
      </c>
    </row>
    <row r="3" ht="4.5" customHeight="1">
      <c r="A3" s="454"/>
    </row>
    <row r="4" spans="1:3" ht="12.75">
      <c r="A4" s="131" t="s">
        <v>190</v>
      </c>
      <c r="B4" s="219">
        <v>804.428063476751</v>
      </c>
      <c r="C4" s="219"/>
    </row>
    <row r="5" spans="1:10" ht="25.5">
      <c r="A5" s="19" t="s">
        <v>254</v>
      </c>
      <c r="B5" s="220" t="s">
        <v>189</v>
      </c>
      <c r="C5" s="220"/>
      <c r="D5" s="220" t="s">
        <v>164</v>
      </c>
      <c r="E5" s="220"/>
      <c r="F5" s="183" t="s">
        <v>179</v>
      </c>
      <c r="G5" s="220"/>
      <c r="H5" s="220" t="s">
        <v>251</v>
      </c>
      <c r="I5" s="221"/>
      <c r="J5" s="222" t="s">
        <v>183</v>
      </c>
    </row>
    <row r="6" spans="1:10" ht="12.75">
      <c r="A6" s="112" t="s">
        <v>180</v>
      </c>
      <c r="B6" s="223">
        <v>30</v>
      </c>
      <c r="C6" s="299" t="s">
        <v>238</v>
      </c>
      <c r="D6" s="115">
        <v>42.11607930004757</v>
      </c>
      <c r="E6" s="299" t="s">
        <v>238</v>
      </c>
      <c r="F6" s="224">
        <f>($B$4/B6*D6)/$B$4</f>
        <v>1.4038693100015858</v>
      </c>
      <c r="G6" s="115"/>
      <c r="H6" s="225">
        <v>1.37715102157782</v>
      </c>
      <c r="I6" s="221"/>
      <c r="J6" s="224">
        <f>H6*F6</f>
        <v>1.933340054430433</v>
      </c>
    </row>
    <row r="7" spans="1:10" ht="12.75">
      <c r="A7" s="112" t="s">
        <v>181</v>
      </c>
      <c r="B7" s="223">
        <v>114.19779465085449</v>
      </c>
      <c r="C7" s="299" t="s">
        <v>238</v>
      </c>
      <c r="D7" s="115">
        <v>42.6855</v>
      </c>
      <c r="E7" s="299" t="s">
        <v>238</v>
      </c>
      <c r="F7" s="224">
        <f>($B$4/B7*D7)/$B$4</f>
        <v>0.37378567712717736</v>
      </c>
      <c r="G7" s="115"/>
      <c r="H7" s="226">
        <v>3.2543215200593516</v>
      </c>
      <c r="I7" s="221"/>
      <c r="J7" s="224">
        <f>H7*F7</f>
        <v>1.2164187729649298</v>
      </c>
    </row>
    <row r="8" spans="1:10" ht="12.75">
      <c r="A8" s="112"/>
      <c r="B8" s="221"/>
      <c r="C8" s="221"/>
      <c r="D8" s="221"/>
      <c r="E8" s="221"/>
      <c r="F8" s="224"/>
      <c r="G8" s="147"/>
      <c r="H8" s="221"/>
      <c r="I8" s="221"/>
      <c r="J8" s="224"/>
    </row>
    <row r="9" spans="1:10" ht="12.75">
      <c r="A9" s="91" t="s">
        <v>255</v>
      </c>
      <c r="B9" s="221"/>
      <c r="C9" s="221"/>
      <c r="D9" s="115" t="s">
        <v>106</v>
      </c>
      <c r="E9" s="115"/>
      <c r="F9" s="224">
        <v>0.04143416640864237</v>
      </c>
      <c r="G9" s="300" t="s">
        <v>239</v>
      </c>
      <c r="H9" s="207">
        <v>1.7618940786298556</v>
      </c>
      <c r="I9" s="221"/>
      <c r="J9" s="224">
        <f>H9*F9</f>
        <v>0.07300261244835106</v>
      </c>
    </row>
    <row r="10" spans="1:10" ht="12.75">
      <c r="A10" s="110"/>
      <c r="B10" s="221"/>
      <c r="C10" s="221"/>
      <c r="D10" s="221"/>
      <c r="E10" s="221"/>
      <c r="F10" s="224"/>
      <c r="G10" s="147"/>
      <c r="H10" s="221"/>
      <c r="I10" s="221"/>
      <c r="J10" s="224"/>
    </row>
    <row r="11" spans="1:10" ht="12.75">
      <c r="A11" s="19" t="s">
        <v>253</v>
      </c>
      <c r="B11" s="221"/>
      <c r="C11" s="221"/>
      <c r="D11" s="115"/>
      <c r="E11" s="115"/>
      <c r="F11" s="224"/>
      <c r="G11" s="147"/>
      <c r="H11" s="221"/>
      <c r="I11" s="221"/>
      <c r="J11" s="224"/>
    </row>
    <row r="12" spans="1:10" ht="12.75">
      <c r="A12" s="112" t="s">
        <v>181</v>
      </c>
      <c r="B12" s="221"/>
      <c r="C12" s="221"/>
      <c r="D12" s="221"/>
      <c r="E12" s="221"/>
      <c r="F12" s="224"/>
      <c r="G12" s="115"/>
      <c r="H12" s="221"/>
      <c r="I12" s="221"/>
      <c r="J12" s="224"/>
    </row>
    <row r="13" spans="1:10" ht="12.75">
      <c r="A13" s="114" t="s">
        <v>153</v>
      </c>
      <c r="B13" s="223">
        <v>114.19779465085449</v>
      </c>
      <c r="C13" s="299" t="s">
        <v>238</v>
      </c>
      <c r="D13" s="115">
        <v>42.6855</v>
      </c>
      <c r="E13" s="299" t="s">
        <v>238</v>
      </c>
      <c r="F13" s="224">
        <f>($B$4/B13*D13)/$B$4</f>
        <v>0.37378567712717736</v>
      </c>
      <c r="G13" s="115"/>
      <c r="H13" s="226">
        <v>3.2543215200593516</v>
      </c>
      <c r="I13" s="221"/>
      <c r="J13" s="224" t="s">
        <v>247</v>
      </c>
    </row>
    <row r="14" spans="1:10" ht="12.75">
      <c r="A14" s="114" t="s">
        <v>152</v>
      </c>
      <c r="B14" s="223">
        <v>167.55812153748252</v>
      </c>
      <c r="C14" s="299" t="s">
        <v>238</v>
      </c>
      <c r="D14" s="115">
        <v>42.6855</v>
      </c>
      <c r="E14" s="299" t="s">
        <v>238</v>
      </c>
      <c r="F14" s="224">
        <f>($B$4/B14*D14)/$B$4</f>
        <v>0.2547504090421025</v>
      </c>
      <c r="G14" s="115"/>
      <c r="H14" s="226">
        <v>3.2543215200593516</v>
      </c>
      <c r="I14" s="221"/>
      <c r="J14" s="224">
        <f>H14*F14</f>
        <v>0.8290397383896366</v>
      </c>
    </row>
    <row r="15" spans="1:10" ht="12.75">
      <c r="A15" s="112" t="s">
        <v>182</v>
      </c>
      <c r="B15" s="223">
        <v>504.8357573070678</v>
      </c>
      <c r="C15" s="299" t="s">
        <v>238</v>
      </c>
      <c r="D15" s="115">
        <v>42.6855</v>
      </c>
      <c r="E15" s="299" t="s">
        <v>238</v>
      </c>
      <c r="F15" s="224">
        <v>0.08455324208351672</v>
      </c>
      <c r="G15" s="115"/>
      <c r="H15" s="226">
        <v>3.2543215200593516</v>
      </c>
      <c r="I15" s="221"/>
      <c r="J15" s="224">
        <f>H15*F15</f>
        <v>0.2751634353031765</v>
      </c>
    </row>
    <row r="16" spans="2:10" ht="12.75">
      <c r="B16" s="147"/>
      <c r="C16" s="147"/>
      <c r="D16" s="115"/>
      <c r="E16" s="115"/>
      <c r="F16" s="224"/>
      <c r="G16" s="221"/>
      <c r="H16" s="221"/>
      <c r="I16" s="221"/>
      <c r="J16" s="224"/>
    </row>
    <row r="17" spans="1:10" ht="12.75">
      <c r="A17" s="91" t="s">
        <v>102</v>
      </c>
      <c r="B17" s="221"/>
      <c r="C17" s="221"/>
      <c r="D17" s="221"/>
      <c r="E17" s="221"/>
      <c r="F17" s="224">
        <f>SUM(F6:F15)</f>
        <v>2.5321784817902024</v>
      </c>
      <c r="G17" s="115"/>
      <c r="H17" s="221"/>
      <c r="I17" s="221"/>
      <c r="J17" s="224">
        <f>SUM(J6:J15)</f>
        <v>4.326964613536528</v>
      </c>
    </row>
    <row r="18" spans="2:10" ht="12.75" hidden="1">
      <c r="B18" s="221"/>
      <c r="C18" s="221"/>
      <c r="D18" s="221"/>
      <c r="E18" s="221"/>
      <c r="F18" s="221"/>
      <c r="G18" s="221"/>
      <c r="H18" s="221"/>
      <c r="I18" s="221"/>
      <c r="J18" s="221"/>
    </row>
    <row r="19" spans="2:7" ht="12.75" hidden="1">
      <c r="B19" s="122"/>
      <c r="C19" s="122"/>
      <c r="D19" s="123" t="s">
        <v>188</v>
      </c>
      <c r="E19" s="123"/>
      <c r="F19" s="124">
        <v>0</v>
      </c>
      <c r="G19" s="113"/>
    </row>
    <row r="20" spans="1:5" ht="12.75">
      <c r="A20" s="283"/>
      <c r="B20" s="283"/>
      <c r="C20" s="283"/>
      <c r="D20" s="283"/>
      <c r="E20" s="283"/>
    </row>
    <row r="21" ht="12.75">
      <c r="A21" s="18" t="s">
        <v>235</v>
      </c>
    </row>
    <row r="22" ht="12.75">
      <c r="A22" s="25" t="s">
        <v>788</v>
      </c>
    </row>
    <row r="23" ht="12.75">
      <c r="A23" s="25" t="s">
        <v>816</v>
      </c>
    </row>
    <row r="24" ht="12.75">
      <c r="A24" s="25" t="s">
        <v>704</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sheetPr codeName="Sheet43">
    <pageSetUpPr fitToPage="1"/>
  </sheetPr>
  <dimension ref="A1:J38"/>
  <sheetViews>
    <sheetView zoomScale="70" zoomScaleNormal="70" zoomScalePageLayoutView="0" workbookViewId="0" topLeftCell="A1">
      <selection activeCell="A1" sqref="A1"/>
    </sheetView>
  </sheetViews>
  <sheetFormatPr defaultColWidth="9.140625" defaultRowHeight="12.75"/>
  <cols>
    <col min="1" max="1" width="45.28125" style="0" bestFit="1" customWidth="1"/>
    <col min="2" max="2" width="15.8515625" style="0" customWidth="1"/>
    <col min="3" max="3" width="3.28125" style="0" customWidth="1"/>
  </cols>
  <sheetData>
    <row r="1" spans="1:2" ht="15.75">
      <c r="A1" s="158" t="s">
        <v>718</v>
      </c>
      <c r="B1" s="17"/>
    </row>
    <row r="2" spans="1:2" ht="15.75">
      <c r="A2" s="158" t="s">
        <v>787</v>
      </c>
      <c r="B2" s="17"/>
    </row>
    <row r="3" ht="4.5" customHeight="1">
      <c r="A3" s="16"/>
    </row>
    <row r="4" spans="1:3" ht="12.75">
      <c r="A4" t="s">
        <v>111</v>
      </c>
      <c r="B4" s="26">
        <v>1.0360078863380962</v>
      </c>
      <c r="C4" s="125" t="s">
        <v>236</v>
      </c>
    </row>
    <row r="5" spans="1:3" ht="12.75">
      <c r="A5" t="s">
        <v>112</v>
      </c>
      <c r="B5" s="26">
        <v>8.337340046259149</v>
      </c>
      <c r="C5" s="125" t="s">
        <v>238</v>
      </c>
    </row>
    <row r="6" ht="12.75">
      <c r="B6" s="14"/>
    </row>
    <row r="7" spans="1:10" ht="12.75">
      <c r="A7" s="13" t="s">
        <v>666</v>
      </c>
      <c r="B7" s="119">
        <f>'Table 3.40-Form Processing'!J4</f>
        <v>0.0977375600419965</v>
      </c>
      <c r="C7" s="12" t="s">
        <v>239</v>
      </c>
      <c r="D7" s="27"/>
      <c r="E7" s="27"/>
      <c r="F7" s="27"/>
      <c r="G7" s="27"/>
      <c r="H7" s="27"/>
      <c r="I7" s="27"/>
      <c r="J7" s="27"/>
    </row>
    <row r="8" spans="1:3" ht="12.75">
      <c r="A8" s="12" t="s">
        <v>667</v>
      </c>
      <c r="B8" s="119">
        <f>'Table 3.40-Form Processing'!J6</f>
        <v>0.04308627086727627</v>
      </c>
      <c r="C8" s="12" t="s">
        <v>239</v>
      </c>
    </row>
    <row r="10" spans="1:2" ht="12.75">
      <c r="A10" t="s">
        <v>113</v>
      </c>
      <c r="B10" s="29"/>
    </row>
    <row r="11" spans="1:3" ht="12.75">
      <c r="A11" s="28" t="s">
        <v>260</v>
      </c>
      <c r="B11" s="118">
        <f>'Table 3.38-Form 3547 Dist'!I25</f>
        <v>0.21827091900183784</v>
      </c>
      <c r="C11" s="12" t="s">
        <v>240</v>
      </c>
    </row>
    <row r="12" spans="1:3" ht="12.75">
      <c r="A12" s="164" t="s">
        <v>120</v>
      </c>
      <c r="B12" s="118">
        <f>'Table 3.38-Form 3547 Dist'!I26</f>
        <v>0.6914835416112137</v>
      </c>
      <c r="C12" s="12" t="s">
        <v>240</v>
      </c>
    </row>
    <row r="13" spans="1:3" ht="12.75">
      <c r="A13" s="28" t="s">
        <v>259</v>
      </c>
      <c r="B13" s="118">
        <f>'Table 3.38-Form 3547 Dist'!I27</f>
        <v>0.09024553938694843</v>
      </c>
      <c r="C13" s="12" t="s">
        <v>240</v>
      </c>
    </row>
    <row r="15" spans="1:3" ht="12.75">
      <c r="A15" s="12" t="s">
        <v>739</v>
      </c>
      <c r="B15" s="6">
        <f>'Table 3.38-Form 3547 Dist'!B28*1000</f>
        <v>55673965.08284916</v>
      </c>
      <c r="C15" s="12" t="s">
        <v>241</v>
      </c>
    </row>
    <row r="16" spans="1:3" ht="12.75">
      <c r="A16" s="12" t="s">
        <v>740</v>
      </c>
      <c r="B16" s="10">
        <f>'Table 3.38-Form 3547 Dist'!E28*1000</f>
        <v>4299463.763955502</v>
      </c>
      <c r="C16" s="12" t="s">
        <v>242</v>
      </c>
    </row>
    <row r="17" spans="1:3" ht="12.75">
      <c r="A17" s="13" t="s">
        <v>115</v>
      </c>
      <c r="B17" s="6">
        <f>SUM(B15:B16)</f>
        <v>59973428.84680466</v>
      </c>
      <c r="C17" s="12"/>
    </row>
    <row r="18" spans="2:3" ht="12.75">
      <c r="B18" s="6"/>
      <c r="C18" s="12"/>
    </row>
    <row r="19" spans="1:4" ht="12.75">
      <c r="A19" s="12" t="s">
        <v>741</v>
      </c>
      <c r="B19" s="492">
        <v>6960401.80637121</v>
      </c>
      <c r="C19" s="12" t="s">
        <v>241</v>
      </c>
      <c r="D19" s="12"/>
    </row>
    <row r="20" spans="1:3" ht="12.75">
      <c r="A20" s="12" t="s">
        <v>742</v>
      </c>
      <c r="B20" s="30">
        <v>5416050.7676648535</v>
      </c>
      <c r="C20" s="12" t="s">
        <v>242</v>
      </c>
    </row>
    <row r="21" spans="1:3" ht="12.75">
      <c r="A21" s="12" t="s">
        <v>116</v>
      </c>
      <c r="B21" s="492">
        <f>SUM(B19:B20)</f>
        <v>12376452.574036064</v>
      </c>
      <c r="C21" s="12"/>
    </row>
    <row r="22" spans="2:3" ht="12.75">
      <c r="B22" s="492"/>
      <c r="C22" s="12"/>
    </row>
    <row r="23" spans="1:2" ht="12.75">
      <c r="A23" t="s">
        <v>261</v>
      </c>
      <c r="B23" s="31">
        <f>SUM(B17,B21)</f>
        <v>72349881.42084073</v>
      </c>
    </row>
    <row r="24" ht="12.75">
      <c r="B24" s="32"/>
    </row>
    <row r="25" spans="1:3" ht="12.75">
      <c r="A25" s="12" t="s">
        <v>51</v>
      </c>
      <c r="B25" s="32">
        <f>'Table 3.1-UAA Summary'!L51*1000</f>
        <v>441345774.97772825</v>
      </c>
      <c r="C25" s="12"/>
    </row>
    <row r="26" spans="1:3" ht="12.75">
      <c r="A26" s="12" t="s">
        <v>52</v>
      </c>
      <c r="B26" s="32">
        <f>'Table 3.1-UAA Summary'!L50*1000</f>
        <v>290525703.9518053</v>
      </c>
      <c r="C26" s="12"/>
    </row>
    <row r="27" ht="12.75">
      <c r="B27" s="27"/>
    </row>
    <row r="28" spans="1:3" ht="12.75">
      <c r="A28" s="12" t="s">
        <v>350</v>
      </c>
      <c r="B28" s="33">
        <v>42.6855</v>
      </c>
      <c r="C28" s="12" t="s">
        <v>243</v>
      </c>
    </row>
    <row r="29" spans="1:2" ht="12.75">
      <c r="A29" s="283"/>
      <c r="B29" s="283"/>
    </row>
    <row r="30" ht="12.75">
      <c r="A30" s="151" t="s">
        <v>235</v>
      </c>
    </row>
    <row r="31" ht="12.75">
      <c r="A31" s="125" t="s">
        <v>818</v>
      </c>
    </row>
    <row r="32" ht="12.75">
      <c r="A32" s="125" t="s">
        <v>13</v>
      </c>
    </row>
    <row r="33" ht="12.75">
      <c r="A33" s="12" t="s">
        <v>698</v>
      </c>
    </row>
    <row r="34" ht="12.75">
      <c r="A34" s="12" t="s">
        <v>705</v>
      </c>
    </row>
    <row r="35" ht="12.75">
      <c r="A35" s="25" t="s">
        <v>819</v>
      </c>
    </row>
    <row r="36" ht="12.75">
      <c r="A36" s="25" t="s">
        <v>820</v>
      </c>
    </row>
    <row r="37" ht="12.75">
      <c r="A37" s="25" t="s">
        <v>817</v>
      </c>
    </row>
    <row r="38" ht="12.75">
      <c r="A38" s="12" t="s">
        <v>53</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sheetPr codeName="Sheet42">
    <pageSetUpPr fitToPage="1"/>
  </sheetPr>
  <dimension ref="A1:I34"/>
  <sheetViews>
    <sheetView zoomScale="70" zoomScaleNormal="70" zoomScalePageLayoutView="0" workbookViewId="0" topLeftCell="A1">
      <selection activeCell="A1" sqref="A1"/>
    </sheetView>
  </sheetViews>
  <sheetFormatPr defaultColWidth="9.140625" defaultRowHeight="12.75"/>
  <cols>
    <col min="1" max="1" width="19.7109375" style="18" bestFit="1" customWidth="1"/>
    <col min="2" max="2" width="15.7109375" style="18" customWidth="1"/>
    <col min="3" max="3" width="13.140625" style="18" customWidth="1"/>
    <col min="4" max="4" width="3.7109375" style="18" customWidth="1"/>
    <col min="5" max="5" width="15.7109375" style="18" customWidth="1"/>
    <col min="6" max="6" width="14.8515625" style="18" customWidth="1"/>
    <col min="7" max="7" width="3.7109375" style="18" customWidth="1"/>
    <col min="8" max="8" width="15.7109375" style="18" customWidth="1"/>
    <col min="9" max="9" width="14.8515625" style="18" customWidth="1"/>
    <col min="10" max="16384" width="9.140625" style="18" customWidth="1"/>
  </cols>
  <sheetData>
    <row r="1" ht="15.75" customHeight="1">
      <c r="A1" s="157" t="s">
        <v>723</v>
      </c>
    </row>
    <row r="2" ht="15.75" customHeight="1">
      <c r="A2" s="158" t="s">
        <v>787</v>
      </c>
    </row>
    <row r="3" ht="12.75" customHeight="1"/>
    <row r="4" spans="2:6" ht="12.75" customHeight="1">
      <c r="B4" s="564" t="s">
        <v>724</v>
      </c>
      <c r="C4" s="564"/>
      <c r="D4" s="564"/>
      <c r="E4" s="564" t="s">
        <v>724</v>
      </c>
      <c r="F4" s="564"/>
    </row>
    <row r="5" spans="2:9" ht="12.75" customHeight="1">
      <c r="B5" s="565" t="s">
        <v>725</v>
      </c>
      <c r="C5" s="564"/>
      <c r="D5" s="564"/>
      <c r="E5" s="565" t="s">
        <v>726</v>
      </c>
      <c r="F5" s="564"/>
      <c r="H5" s="566" t="s">
        <v>727</v>
      </c>
      <c r="I5" s="564"/>
    </row>
    <row r="6" spans="1:9" ht="12.75" customHeight="1">
      <c r="A6" s="102" t="s">
        <v>728</v>
      </c>
      <c r="B6" s="567" t="s">
        <v>729</v>
      </c>
      <c r="C6" s="227" t="s">
        <v>172</v>
      </c>
      <c r="D6" s="227"/>
      <c r="E6" s="567" t="s">
        <v>730</v>
      </c>
      <c r="F6" s="227" t="s">
        <v>172</v>
      </c>
      <c r="H6" s="568" t="s">
        <v>103</v>
      </c>
      <c r="I6" s="227" t="s">
        <v>172</v>
      </c>
    </row>
    <row r="7" spans="1:9" ht="12.75" customHeight="1">
      <c r="A7" s="28" t="s">
        <v>260</v>
      </c>
      <c r="B7" s="37">
        <v>11944.525249595932</v>
      </c>
      <c r="C7" s="569">
        <f>B7/B$10</f>
        <v>0.24843188574672212</v>
      </c>
      <c r="D7" s="569"/>
      <c r="E7" s="37">
        <v>0</v>
      </c>
      <c r="F7" s="569">
        <f>E7/E$10</f>
        <v>0</v>
      </c>
      <c r="H7" s="324">
        <f>B7+E7</f>
        <v>11944.525249595932</v>
      </c>
      <c r="I7" s="569">
        <f>H7/H$10</f>
        <v>0.23062193372100814</v>
      </c>
    </row>
    <row r="8" spans="1:9" ht="12.75" customHeight="1">
      <c r="A8" s="164" t="s">
        <v>120</v>
      </c>
      <c r="B8" s="37">
        <v>33503.97997742985</v>
      </c>
      <c r="C8" s="569">
        <f>B8/B$10</f>
        <v>0.6968428423804363</v>
      </c>
      <c r="D8" s="569"/>
      <c r="E8" s="37">
        <v>3442.6287727576228</v>
      </c>
      <c r="F8" s="569">
        <f>E8/E$10</f>
        <v>0.9271852133758841</v>
      </c>
      <c r="H8" s="324">
        <f>B8+E8</f>
        <v>36946.60875018747</v>
      </c>
      <c r="I8" s="569">
        <f>H8/H$10</f>
        <v>0.7133559665496123</v>
      </c>
    </row>
    <row r="9" spans="1:9" ht="12.75" customHeight="1">
      <c r="A9" s="28" t="s">
        <v>259</v>
      </c>
      <c r="B9" s="37">
        <v>2631.17348931037</v>
      </c>
      <c r="C9" s="569">
        <f>B9/B$10</f>
        <v>0.054725271872841555</v>
      </c>
      <c r="D9" s="569"/>
      <c r="E9" s="37">
        <v>270.3605233324228</v>
      </c>
      <c r="F9" s="569">
        <f>E9/E$10</f>
        <v>0.07281478662411586</v>
      </c>
      <c r="H9" s="324">
        <f>B9+E9</f>
        <v>2901.5340126427927</v>
      </c>
      <c r="I9" s="569">
        <f>H9/H$10</f>
        <v>0.056022099729379674</v>
      </c>
    </row>
    <row r="10" spans="1:9" ht="12.75" customHeight="1">
      <c r="A10" s="5" t="s">
        <v>102</v>
      </c>
      <c r="B10" s="37">
        <f>SUM(B7:B9)</f>
        <v>48079.67871633616</v>
      </c>
      <c r="C10" s="570">
        <f>SUM(C7:C9)</f>
        <v>1</v>
      </c>
      <c r="D10" s="570"/>
      <c r="E10" s="37">
        <f>SUM(E7:E9)</f>
        <v>3712.9892960900456</v>
      </c>
      <c r="F10" s="570">
        <f>SUM(F7:F9)</f>
        <v>1</v>
      </c>
      <c r="H10" s="324">
        <f>SUM(H7:H9)</f>
        <v>51792.66801242619</v>
      </c>
      <c r="I10" s="570">
        <f>SUM(I7:I9)</f>
        <v>1.0000000000000002</v>
      </c>
    </row>
    <row r="11" ht="12.75" customHeight="1"/>
    <row r="12" ht="12.75" customHeight="1"/>
    <row r="13" spans="2:6" ht="12.75" customHeight="1">
      <c r="B13" s="564" t="s">
        <v>731</v>
      </c>
      <c r="C13" s="564"/>
      <c r="E13" s="564" t="s">
        <v>731</v>
      </c>
      <c r="F13" s="564"/>
    </row>
    <row r="14" spans="2:9" ht="12.75" customHeight="1">
      <c r="B14" s="565" t="s">
        <v>732</v>
      </c>
      <c r="C14" s="564"/>
      <c r="E14" s="565" t="s">
        <v>733</v>
      </c>
      <c r="F14" s="564"/>
      <c r="H14" s="565" t="s">
        <v>734</v>
      </c>
      <c r="I14" s="564"/>
    </row>
    <row r="15" spans="1:9" ht="12.75" customHeight="1">
      <c r="A15" s="102" t="s">
        <v>728</v>
      </c>
      <c r="B15" s="567" t="s">
        <v>729</v>
      </c>
      <c r="C15" s="227" t="s">
        <v>172</v>
      </c>
      <c r="E15" s="567" t="s">
        <v>730</v>
      </c>
      <c r="F15" s="227" t="s">
        <v>172</v>
      </c>
      <c r="H15" s="568" t="s">
        <v>103</v>
      </c>
      <c r="I15" s="227" t="s">
        <v>172</v>
      </c>
    </row>
    <row r="16" spans="1:9" ht="12.75" customHeight="1">
      <c r="A16" s="28" t="s">
        <v>260</v>
      </c>
      <c r="B16" s="37">
        <v>1145.9301804874522</v>
      </c>
      <c r="C16" s="569">
        <f>B16/B$19</f>
        <v>0.15089372788737998</v>
      </c>
      <c r="E16" s="37">
        <v>0</v>
      </c>
      <c r="F16" s="569">
        <f>E16/E$19</f>
        <v>0</v>
      </c>
      <c r="H16" s="324">
        <f>B16+E16</f>
        <v>1145.9301804874522</v>
      </c>
      <c r="I16" s="569">
        <f>H16/H$19</f>
        <v>0.1400762354122183</v>
      </c>
    </row>
    <row r="17" spans="1:9" ht="12.75" customHeight="1">
      <c r="A17" s="164" t="s">
        <v>120</v>
      </c>
      <c r="B17" s="37">
        <v>4146.874283616233</v>
      </c>
      <c r="C17" s="569">
        <f>B17/B$19</f>
        <v>0.5460518715625304</v>
      </c>
      <c r="E17" s="37">
        <v>377.15594775290515</v>
      </c>
      <c r="F17" s="569">
        <f>E17/E$19</f>
        <v>0.6430901401822475</v>
      </c>
      <c r="H17" s="324">
        <f>B17+E17</f>
        <v>4524.030231369138</v>
      </c>
      <c r="I17" s="569">
        <f>H17/H$19</f>
        <v>0.5530084943148026</v>
      </c>
    </row>
    <row r="18" spans="1:9" ht="12.75" customHeight="1">
      <c r="A18" s="28" t="s">
        <v>259</v>
      </c>
      <c r="B18" s="37">
        <v>2301.481902409315</v>
      </c>
      <c r="C18" s="569">
        <f>B18/B$19</f>
        <v>0.3030544005500896</v>
      </c>
      <c r="E18" s="37">
        <v>209.31852011255089</v>
      </c>
      <c r="F18" s="569">
        <f>E18/E$19</f>
        <v>0.3569098598177525</v>
      </c>
      <c r="H18" s="324">
        <f>B18+E18</f>
        <v>2510.8004225218656</v>
      </c>
      <c r="I18" s="569">
        <f>H18/H$19</f>
        <v>0.30691527027297905</v>
      </c>
    </row>
    <row r="19" spans="1:9" ht="12.75" customHeight="1">
      <c r="A19" s="5" t="s">
        <v>102</v>
      </c>
      <c r="B19" s="37">
        <f>SUM(B16:B18)</f>
        <v>7594.286366513</v>
      </c>
      <c r="C19" s="570">
        <f>SUM(C16:C18)</f>
        <v>1</v>
      </c>
      <c r="E19" s="37">
        <f>SUM(E16:E18)</f>
        <v>586.4744678654561</v>
      </c>
      <c r="F19" s="570">
        <f>SUM(F16:F18)</f>
        <v>1</v>
      </c>
      <c r="H19" s="324">
        <f>SUM(H16:H18)</f>
        <v>8180.760834378456</v>
      </c>
      <c r="I19" s="570">
        <f>SUM(I16:I18)</f>
        <v>0.9999999999999999</v>
      </c>
    </row>
    <row r="20" spans="1:9" ht="12.75" customHeight="1">
      <c r="A20" s="5"/>
      <c r="B20" s="37"/>
      <c r="C20" s="570"/>
      <c r="E20" s="37"/>
      <c r="F20" s="570"/>
      <c r="H20" s="324"/>
      <c r="I20" s="570"/>
    </row>
    <row r="21" spans="1:9" ht="12.75" customHeight="1">
      <c r="A21" s="5"/>
      <c r="B21" s="37"/>
      <c r="C21" s="570"/>
      <c r="E21" s="37"/>
      <c r="F21" s="570"/>
      <c r="H21" s="324"/>
      <c r="I21" s="570"/>
    </row>
    <row r="22" spans="2:6" ht="12.75" customHeight="1">
      <c r="B22" s="564" t="s">
        <v>735</v>
      </c>
      <c r="C22" s="564"/>
      <c r="E22" s="564" t="s">
        <v>735</v>
      </c>
      <c r="F22" s="564"/>
    </row>
    <row r="23" spans="2:9" ht="12.75" customHeight="1">
      <c r="B23" s="565" t="s">
        <v>732</v>
      </c>
      <c r="C23" s="564"/>
      <c r="E23" s="565" t="s">
        <v>733</v>
      </c>
      <c r="F23" s="564"/>
      <c r="H23" s="565" t="s">
        <v>736</v>
      </c>
      <c r="I23" s="564"/>
    </row>
    <row r="24" spans="1:9" ht="12.75" customHeight="1">
      <c r="A24" s="102" t="s">
        <v>728</v>
      </c>
      <c r="B24" s="567" t="s">
        <v>729</v>
      </c>
      <c r="C24" s="227" t="s">
        <v>172</v>
      </c>
      <c r="E24" s="567" t="s">
        <v>730</v>
      </c>
      <c r="F24" s="227" t="s">
        <v>172</v>
      </c>
      <c r="H24" s="568" t="s">
        <v>103</v>
      </c>
      <c r="I24" s="227" t="s">
        <v>172</v>
      </c>
    </row>
    <row r="25" spans="1:9" ht="12.75" customHeight="1">
      <c r="A25" s="28" t="s">
        <v>260</v>
      </c>
      <c r="B25" s="37">
        <f>SUM(B7,B16)</f>
        <v>13090.455430083384</v>
      </c>
      <c r="C25" s="569">
        <f>B25/B$28</f>
        <v>0.23512705464041056</v>
      </c>
      <c r="E25" s="37">
        <f>SUM(E7,E16)</f>
        <v>0</v>
      </c>
      <c r="F25" s="569">
        <f>E25/E$28</f>
        <v>0</v>
      </c>
      <c r="H25" s="324">
        <f>B25+E25</f>
        <v>13090.455430083384</v>
      </c>
      <c r="I25" s="569">
        <f>H25/H$28</f>
        <v>0.21827091900183784</v>
      </c>
    </row>
    <row r="26" spans="1:9" ht="12.75" customHeight="1">
      <c r="A26" s="164" t="s">
        <v>120</v>
      </c>
      <c r="B26" s="37">
        <f>SUM(B8,B17)</f>
        <v>37650.854261046086</v>
      </c>
      <c r="C26" s="569">
        <f>B26/B$28</f>
        <v>0.6762739856056121</v>
      </c>
      <c r="E26" s="37">
        <f>SUM(E8,E17)</f>
        <v>3819.784720510528</v>
      </c>
      <c r="F26" s="569">
        <f>E26/E$28</f>
        <v>0.8884328209795935</v>
      </c>
      <c r="H26" s="324">
        <f>B26+E26</f>
        <v>41470.638981556614</v>
      </c>
      <c r="I26" s="569">
        <f>H26/H$28</f>
        <v>0.6914835416112137</v>
      </c>
    </row>
    <row r="27" spans="1:9" ht="12.75" customHeight="1">
      <c r="A27" s="28" t="s">
        <v>259</v>
      </c>
      <c r="B27" s="37">
        <f>SUM(B9,B18)</f>
        <v>4932.655391719685</v>
      </c>
      <c r="C27" s="569">
        <f>B27/B$28</f>
        <v>0.08859895975397722</v>
      </c>
      <c r="E27" s="37">
        <f>SUM(E9,E18)</f>
        <v>479.6790434449737</v>
      </c>
      <c r="F27" s="569">
        <f>E27/E$28</f>
        <v>0.11156717902040636</v>
      </c>
      <c r="H27" s="324">
        <f>B27+E27</f>
        <v>5412.334435164659</v>
      </c>
      <c r="I27" s="569">
        <f>H27/H$28</f>
        <v>0.09024553938694843</v>
      </c>
    </row>
    <row r="28" spans="1:9" ht="12.75" customHeight="1">
      <c r="A28" s="5" t="s">
        <v>102</v>
      </c>
      <c r="B28" s="37">
        <f>SUM(B25:B27)</f>
        <v>55673.96508284916</v>
      </c>
      <c r="C28" s="570">
        <f>SUM(C25:C27)</f>
        <v>0.9999999999999999</v>
      </c>
      <c r="E28" s="37">
        <f>SUM(E25:E27)</f>
        <v>4299.463763955502</v>
      </c>
      <c r="F28" s="570">
        <f>SUM(F25:F27)</f>
        <v>0.9999999999999999</v>
      </c>
      <c r="H28" s="324">
        <f>SUM(H25:H27)</f>
        <v>59973.42884680466</v>
      </c>
      <c r="I28" s="570">
        <f>SUM(I25:I27)</f>
        <v>1</v>
      </c>
    </row>
    <row r="29" spans="1:2" ht="12.75" customHeight="1">
      <c r="A29" s="141"/>
      <c r="B29" s="282"/>
    </row>
    <row r="30" spans="1:2" ht="12.75" customHeight="1">
      <c r="A30" s="4" t="s">
        <v>235</v>
      </c>
      <c r="B30" s="37"/>
    </row>
    <row r="31" spans="1:2" ht="12.75" customHeight="1">
      <c r="A31" s="25" t="s">
        <v>802</v>
      </c>
      <c r="B31" s="37"/>
    </row>
    <row r="32" ht="12.75" customHeight="1">
      <c r="A32" s="25" t="s">
        <v>821</v>
      </c>
    </row>
    <row r="33" ht="12.75" customHeight="1">
      <c r="A33" s="327" t="s">
        <v>737</v>
      </c>
    </row>
    <row r="34" ht="12.75" customHeight="1">
      <c r="A34" s="481" t="s">
        <v>738</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Q52"/>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523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577</v>
      </c>
    </row>
    <row r="5" spans="1:17" ht="12.75">
      <c r="A5" s="353" t="s">
        <v>481</v>
      </c>
      <c r="B5" s="32">
        <f>SUM('Table 3.24-CIOSS Detail'!E4,'Table 3.24-CIOSS Detail'!E8)</f>
        <v>633726.1386000001</v>
      </c>
      <c r="C5" s="241" t="s">
        <v>240</v>
      </c>
      <c r="D5" s="488">
        <f>F5/B5</f>
        <v>0.061696650139986986</v>
      </c>
      <c r="E5" s="27"/>
      <c r="F5" s="489">
        <f>SUM('Table 3.24-CIOSS Detail'!K4,'Table 3.24-CIOSS Detail'!K8)</f>
        <v>39098.77985776911</v>
      </c>
      <c r="G5" s="241" t="s">
        <v>240</v>
      </c>
      <c r="H5" s="358">
        <f>B5/$B$29</f>
        <v>0.9</v>
      </c>
      <c r="J5" s="551">
        <f>D5*H5</f>
        <v>0.05552698512598829</v>
      </c>
      <c r="M5" s="27"/>
      <c r="N5" s="27"/>
      <c r="O5" s="27"/>
      <c r="P5" s="27"/>
      <c r="Q5" s="27"/>
    </row>
    <row r="6" spans="1:10" ht="12.75">
      <c r="A6" s="353" t="s">
        <v>95</v>
      </c>
      <c r="B6" s="32">
        <f>SUM('Table 3.28-REC Volume'!G4,'Table 3.28-REC Volume'!G8)</f>
        <v>242327.51029150744</v>
      </c>
      <c r="C6" s="12" t="s">
        <v>241</v>
      </c>
      <c r="D6" s="488">
        <f>F6/B6</f>
        <v>0</v>
      </c>
      <c r="E6" s="27"/>
      <c r="F6" s="489">
        <v>0</v>
      </c>
      <c r="H6" s="358">
        <f>B6/$B$29</f>
        <v>0.3441466999359724</v>
      </c>
      <c r="J6" s="551">
        <f>D6*H6</f>
        <v>0</v>
      </c>
    </row>
    <row r="7" spans="1:10" ht="12.75">
      <c r="A7" s="239" t="s">
        <v>499</v>
      </c>
      <c r="B7" s="32">
        <f>SUM('Table 3.28-REC Volume'!H4)</f>
        <v>299681.0957591971</v>
      </c>
      <c r="C7" s="12" t="s">
        <v>241</v>
      </c>
      <c r="D7" s="488">
        <f>F7/B7</f>
        <v>0.07657497975006622</v>
      </c>
      <c r="E7" s="27"/>
      <c r="F7" s="489">
        <f>'Table 3.26-REC Detail NonACS'!K4</f>
        <v>22948.07383923817</v>
      </c>
      <c r="G7" s="12" t="s">
        <v>242</v>
      </c>
      <c r="H7" s="358">
        <f>B7/$B$29</f>
        <v>0.42559864546397824</v>
      </c>
      <c r="J7" s="551">
        <f>D7*H7</f>
        <v>0.03259020765805975</v>
      </c>
    </row>
    <row r="8" spans="1:10" ht="12.75">
      <c r="A8" s="239" t="s">
        <v>676</v>
      </c>
      <c r="B8" s="32">
        <f>SUM('Table 3.28-REC Volume'!H8)</f>
        <v>63810.169678064085</v>
      </c>
      <c r="C8" s="12" t="s">
        <v>241</v>
      </c>
      <c r="D8" s="488">
        <f>F8/B8</f>
        <v>0.038287489875033116</v>
      </c>
      <c r="E8" s="27"/>
      <c r="F8" s="489">
        <f>'Table 3.26-REC Detail NonACS'!K8</f>
        <v>2443.1312254730237</v>
      </c>
      <c r="G8" s="12" t="s">
        <v>242</v>
      </c>
      <c r="H8" s="358">
        <f>B8/$B$29</f>
        <v>0.09062140443998039</v>
      </c>
      <c r="J8" s="551">
        <f>D8*H8</f>
        <v>0.00346966610495703</v>
      </c>
    </row>
    <row r="9" spans="1:11" ht="12.75">
      <c r="A9" s="239" t="s">
        <v>489</v>
      </c>
      <c r="B9" s="32">
        <v>27907.362871231406</v>
      </c>
      <c r="C9" s="241" t="s">
        <v>243</v>
      </c>
      <c r="D9" s="488">
        <f>'Table 3.21-CFS CIOSS Rejs'!I9</f>
        <v>0.28210155372879886</v>
      </c>
      <c r="E9" s="241" t="s">
        <v>244</v>
      </c>
      <c r="F9" s="489">
        <f>B9*D9</f>
        <v>7872.710426447773</v>
      </c>
      <c r="H9" s="358">
        <f>B9/$B$29</f>
        <v>0.03963325016006885</v>
      </c>
      <c r="J9" s="551">
        <f>D9*H9</f>
        <v>0.011180601449477589</v>
      </c>
      <c r="K9" s="6"/>
    </row>
    <row r="10" spans="1:10" ht="12.75">
      <c r="A10" s="82" t="s">
        <v>102</v>
      </c>
      <c r="B10" s="32">
        <f>B5</f>
        <v>633726.1386000001</v>
      </c>
      <c r="C10" s="27"/>
      <c r="D10" s="488">
        <f>F10/B10</f>
        <v>0.1141860670427585</v>
      </c>
      <c r="E10" s="27"/>
      <c r="F10" s="489">
        <f>SUM(F5:F9)</f>
        <v>72362.69534892807</v>
      </c>
      <c r="H10" s="142"/>
      <c r="J10" s="22">
        <f>SUM(J5:J9)</f>
        <v>0.10276746033848265</v>
      </c>
    </row>
    <row r="11" spans="1:8" ht="4.5" customHeight="1">
      <c r="A11" s="82"/>
      <c r="B11" s="32"/>
      <c r="C11" s="27"/>
      <c r="D11" s="27"/>
      <c r="E11" s="27"/>
      <c r="F11" s="489"/>
      <c r="H11" s="142"/>
    </row>
    <row r="12" spans="1:6" ht="12.75">
      <c r="A12" s="15" t="s">
        <v>578</v>
      </c>
      <c r="B12" s="27"/>
      <c r="C12" s="27"/>
      <c r="D12" s="27"/>
      <c r="E12" s="27"/>
      <c r="F12" s="489"/>
    </row>
    <row r="13" spans="1:10" ht="12.75">
      <c r="A13" s="353" t="s">
        <v>307</v>
      </c>
      <c r="B13" s="32">
        <f>'Table 3.16-Route UAA PARS'!D106</f>
        <v>70414.01539999999</v>
      </c>
      <c r="C13" s="490" t="s">
        <v>582</v>
      </c>
      <c r="D13" s="488">
        <f aca="true" t="shared" si="0" ref="D13:D18">F13/B13</f>
        <v>0.06988171488687643</v>
      </c>
      <c r="E13" s="490"/>
      <c r="F13" s="489">
        <f>'Table 3.16-Route UAA PARS'!J106</f>
        <v>4920.6521482229255</v>
      </c>
      <c r="G13" s="490" t="s">
        <v>582</v>
      </c>
      <c r="H13" s="358">
        <f aca="true" t="shared" si="1" ref="H13:H19">B13/$B$29</f>
        <v>0.09999999999999998</v>
      </c>
      <c r="J13" s="551">
        <f aca="true" t="shared" si="2" ref="J13:J19">D13*H13</f>
        <v>0.006988171488687641</v>
      </c>
    </row>
    <row r="14" spans="1:10" ht="12.75">
      <c r="A14" s="353" t="s">
        <v>495</v>
      </c>
      <c r="B14" s="32">
        <f>'Table 3.18-Nixie UAA'!D6</f>
        <v>70414.01539999999</v>
      </c>
      <c r="C14" s="490" t="s">
        <v>586</v>
      </c>
      <c r="D14" s="488">
        <f t="shared" si="0"/>
        <v>0.006602477884066476</v>
      </c>
      <c r="E14" s="490"/>
      <c r="F14" s="489">
        <f>'Table 3.18-Nixie UAA'!I6</f>
        <v>464.9069794068162</v>
      </c>
      <c r="G14" s="490" t="s">
        <v>586</v>
      </c>
      <c r="H14" s="358">
        <f t="shared" si="1"/>
        <v>0.09999999999999998</v>
      </c>
      <c r="J14" s="551">
        <f t="shared" si="2"/>
        <v>0.0006602477884066475</v>
      </c>
    </row>
    <row r="15" spans="1:10" ht="12.75">
      <c r="A15" s="353" t="s">
        <v>481</v>
      </c>
      <c r="B15" s="32">
        <f>SUM('Table 3.24-CIOSS Detail'!E19,'Table 3.24-CIOSS Detail'!E23)</f>
        <v>70414.01539999999</v>
      </c>
      <c r="C15" s="490" t="s">
        <v>240</v>
      </c>
      <c r="D15" s="488">
        <f t="shared" si="0"/>
        <v>0.04645492934057992</v>
      </c>
      <c r="E15" s="490"/>
      <c r="F15" s="489">
        <f>SUM('Table 3.24-CIOSS Detail'!K19,'Table 3.24-CIOSS Detail'!K23)</f>
        <v>3271.0781099935057</v>
      </c>
      <c r="G15" s="490" t="s">
        <v>240</v>
      </c>
      <c r="H15" s="358">
        <f t="shared" si="1"/>
        <v>0.09999999999999998</v>
      </c>
      <c r="J15" s="551">
        <f t="shared" si="2"/>
        <v>0.004645492934057991</v>
      </c>
    </row>
    <row r="16" spans="1:10" ht="12.75">
      <c r="A16" s="353" t="s">
        <v>95</v>
      </c>
      <c r="B16" s="32">
        <f>SUM('Table 3.28-REC Volume'!G19,'Table 3.28-REC Volume'!G23)</f>
        <v>15482.035379735195</v>
      </c>
      <c r="C16" s="12" t="s">
        <v>241</v>
      </c>
      <c r="D16" s="488">
        <f t="shared" si="0"/>
        <v>0</v>
      </c>
      <c r="E16" s="27"/>
      <c r="F16" s="489">
        <v>0</v>
      </c>
      <c r="H16" s="358">
        <f t="shared" si="1"/>
        <v>0.021987150273687122</v>
      </c>
      <c r="J16" s="551">
        <f t="shared" si="2"/>
        <v>0</v>
      </c>
    </row>
    <row r="17" spans="1:10" ht="12.75">
      <c r="A17" s="239" t="s">
        <v>499</v>
      </c>
      <c r="B17" s="32">
        <f>SUM('Table 3.28-REC Volume'!H19)</f>
        <v>42732.30439529291</v>
      </c>
      <c r="C17" s="12" t="s">
        <v>241</v>
      </c>
      <c r="D17" s="488">
        <f t="shared" si="0"/>
        <v>0.07657497975006623</v>
      </c>
      <c r="E17" s="490"/>
      <c r="F17" s="489">
        <f>'Table 3.26-REC Detail NonACS'!K19</f>
        <v>3272.225343743221</v>
      </c>
      <c r="G17" s="12" t="s">
        <v>242</v>
      </c>
      <c r="H17" s="358">
        <f t="shared" si="1"/>
        <v>0.06068721426060429</v>
      </c>
      <c r="J17" s="551">
        <f t="shared" si="2"/>
        <v>0.004647122203093704</v>
      </c>
    </row>
    <row r="18" spans="1:10" ht="12.75" customHeight="1">
      <c r="A18" s="239" t="s">
        <v>676</v>
      </c>
      <c r="B18" s="32">
        <f>SUM('Table 3.28-REC Volume'!H23)</f>
        <v>9098.857528168393</v>
      </c>
      <c r="C18" s="12" t="s">
        <v>241</v>
      </c>
      <c r="D18" s="488">
        <f t="shared" si="0"/>
        <v>0.03828748987503312</v>
      </c>
      <c r="E18" s="490"/>
      <c r="F18" s="489">
        <f>'Table 3.26-REC Detail NonACS'!K23</f>
        <v>348.3724154841163</v>
      </c>
      <c r="G18" s="12" t="s">
        <v>242</v>
      </c>
      <c r="H18" s="358">
        <f t="shared" si="1"/>
        <v>0.01292194100347868</v>
      </c>
      <c r="J18" s="551">
        <f t="shared" si="2"/>
        <v>0.0004947486853364654</v>
      </c>
    </row>
    <row r="19" spans="1:10" ht="12.75">
      <c r="A19" s="239" t="s">
        <v>489</v>
      </c>
      <c r="B19" s="32">
        <f>'Table 3.21-CFS CIOSS Rejs'!B9-B9</f>
        <v>3100.8180968034903</v>
      </c>
      <c r="C19" s="490" t="s">
        <v>587</v>
      </c>
      <c r="D19" s="488">
        <f>'Table 3.21-CFS CIOSS Rejs'!I9</f>
        <v>0.28210155372879886</v>
      </c>
      <c r="E19" s="241" t="s">
        <v>244</v>
      </c>
      <c r="F19" s="489">
        <f>B19*D19</f>
        <v>874.7456029386417</v>
      </c>
      <c r="H19" s="358">
        <f t="shared" si="1"/>
        <v>0.004403694462229873</v>
      </c>
      <c r="J19" s="551">
        <f t="shared" si="2"/>
        <v>0.0012422890499419546</v>
      </c>
    </row>
    <row r="20" spans="1:10" ht="12.75" customHeight="1">
      <c r="A20" s="100" t="s">
        <v>102</v>
      </c>
      <c r="B20" s="492">
        <f>B13</f>
        <v>70414.01539999999</v>
      </c>
      <c r="C20" s="151"/>
      <c r="D20" s="488">
        <f>F20/B20</f>
        <v>0.18678072149524408</v>
      </c>
      <c r="E20" s="151"/>
      <c r="F20" s="489">
        <f>SUM(F13:F19)</f>
        <v>13151.980599789225</v>
      </c>
      <c r="G20" s="18"/>
      <c r="H20" s="142"/>
      <c r="I20" s="18"/>
      <c r="J20" s="552">
        <f>SUM(J13:J19)</f>
        <v>0.018678072149524404</v>
      </c>
    </row>
    <row r="21" spans="1:10" ht="4.5" customHeight="1">
      <c r="A21" s="100"/>
      <c r="B21" s="324"/>
      <c r="C21" s="18"/>
      <c r="D21" s="18"/>
      <c r="E21" s="18"/>
      <c r="F21" s="489"/>
      <c r="G21" s="18"/>
      <c r="H21" s="142"/>
      <c r="I21" s="18"/>
      <c r="J21" s="18"/>
    </row>
    <row r="22" spans="1:10" ht="12.75" customHeight="1">
      <c r="A22" s="15" t="s">
        <v>579</v>
      </c>
      <c r="B22" s="324"/>
      <c r="C22" s="18"/>
      <c r="D22" s="18"/>
      <c r="E22" s="18"/>
      <c r="F22" s="489"/>
      <c r="G22" s="18"/>
      <c r="H22" s="142"/>
      <c r="I22" s="18"/>
      <c r="J22" s="18"/>
    </row>
    <row r="23" spans="1:10" ht="12.75" customHeight="1">
      <c r="A23" s="353" t="s">
        <v>320</v>
      </c>
      <c r="B23" s="6">
        <f>SUM(B10,B20)</f>
        <v>704140.1540000001</v>
      </c>
      <c r="D23" s="83">
        <f>'Table 3.30-UAA MP Cost'!D8</f>
        <v>0.09688568370462315</v>
      </c>
      <c r="E23" s="12" t="s">
        <v>591</v>
      </c>
      <c r="F23" s="489">
        <f>B23*D23</f>
        <v>68221.10024416864</v>
      </c>
      <c r="G23" s="18"/>
      <c r="H23" s="358">
        <f>B23/$B$29</f>
        <v>1</v>
      </c>
      <c r="J23" s="551">
        <f>D23*H23</f>
        <v>0.09688568370462315</v>
      </c>
    </row>
    <row r="24" spans="1:10" ht="12.75">
      <c r="A24" s="353" t="s">
        <v>99</v>
      </c>
      <c r="B24" s="6">
        <f>'Table 3.35-PD Vols'!B6</f>
        <v>0</v>
      </c>
      <c r="C24" s="12" t="s">
        <v>590</v>
      </c>
      <c r="D24" s="83">
        <f>'Table 3.32-Accounting Post Due'!I7</f>
        <v>2.327113758990404</v>
      </c>
      <c r="E24" s="12" t="s">
        <v>592</v>
      </c>
      <c r="F24" s="489">
        <f>B24*D24</f>
        <v>0</v>
      </c>
      <c r="G24" s="18"/>
      <c r="H24" s="358">
        <f>B24/$B$29</f>
        <v>0</v>
      </c>
      <c r="J24" s="551">
        <f>D24*H24</f>
        <v>0</v>
      </c>
    </row>
    <row r="25" spans="1:10" ht="12.75">
      <c r="A25" s="353" t="s">
        <v>100</v>
      </c>
      <c r="B25" s="6">
        <f>'Table 3.35-PD Vols'!B7</f>
        <v>0</v>
      </c>
      <c r="C25" s="12" t="s">
        <v>590</v>
      </c>
      <c r="D25" s="83">
        <f>'Table 3.33-Delivery Post Due'!I11</f>
        <v>0.8875724776281855</v>
      </c>
      <c r="E25" s="12" t="s">
        <v>593</v>
      </c>
      <c r="F25" s="489">
        <f>B25*D25</f>
        <v>0</v>
      </c>
      <c r="G25" s="18"/>
      <c r="H25" s="358">
        <f>B25/$B$29</f>
        <v>0</v>
      </c>
      <c r="J25" s="551">
        <f>D25*H25</f>
        <v>0</v>
      </c>
    </row>
    <row r="26" spans="1:10" ht="12.75">
      <c r="A26" s="497" t="s">
        <v>210</v>
      </c>
      <c r="B26" s="6">
        <f>'Table 3.35-PD Vols'!B8</f>
        <v>0</v>
      </c>
      <c r="C26" s="12" t="s">
        <v>590</v>
      </c>
      <c r="D26" s="83">
        <f>'Table 3.34-Window Post Due'!I7</f>
        <v>0.4736101324003773</v>
      </c>
      <c r="E26" s="12" t="s">
        <v>594</v>
      </c>
      <c r="F26" s="489">
        <f>B26*D26</f>
        <v>0</v>
      </c>
      <c r="G26" s="18"/>
      <c r="H26" s="358">
        <f>B26/$B$29</f>
        <v>0</v>
      </c>
      <c r="J26" s="551">
        <f>D26*H26</f>
        <v>0</v>
      </c>
    </row>
    <row r="27" spans="1:10" ht="12.75">
      <c r="A27" s="100" t="s">
        <v>102</v>
      </c>
      <c r="B27" s="324">
        <f>B23</f>
        <v>704140.1540000001</v>
      </c>
      <c r="C27" s="18"/>
      <c r="D27" s="83">
        <f>F27/B27</f>
        <v>0.09688568370462315</v>
      </c>
      <c r="E27" s="18"/>
      <c r="F27" s="489">
        <f>SUM(F23:F26)</f>
        <v>68221.10024416864</v>
      </c>
      <c r="G27" s="18"/>
      <c r="H27" s="142"/>
      <c r="I27" s="18"/>
      <c r="J27" s="552">
        <f>SUM(J23:J26)</f>
        <v>0.09688568370462315</v>
      </c>
    </row>
    <row r="28" spans="1:10" ht="4.5" customHeight="1">
      <c r="A28" s="91"/>
      <c r="B28" s="324"/>
      <c r="C28" s="18"/>
      <c r="D28" s="83"/>
      <c r="E28" s="18"/>
      <c r="F28" s="489"/>
      <c r="G28" s="18"/>
      <c r="H28" s="142"/>
      <c r="I28" s="18"/>
      <c r="J28" s="18"/>
    </row>
    <row r="29" spans="1:10" ht="12.75">
      <c r="A29" s="91" t="s">
        <v>504</v>
      </c>
      <c r="B29" s="393">
        <f>SUM(B10,B20)</f>
        <v>704140.1540000001</v>
      </c>
      <c r="C29" s="18"/>
      <c r="D29" s="83"/>
      <c r="E29" s="18"/>
      <c r="F29" s="508">
        <f>SUM(F10,F20,F27)</f>
        <v>153735.77619288594</v>
      </c>
      <c r="G29" s="18"/>
      <c r="H29" s="142"/>
      <c r="I29" s="18"/>
      <c r="J29" s="553">
        <f>SUM(J10,J20,J27)</f>
        <v>0.21833121619263018</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143">
        <f>B5-SUM(B6:B9)</f>
        <v>0</v>
      </c>
      <c r="G32" s="482" t="s">
        <v>311</v>
      </c>
      <c r="H32" s="6">
        <f>SUM('Table 3.16-Route UAA PARS'!J106)</f>
        <v>4920.6521482229255</v>
      </c>
      <c r="J32" s="6">
        <f>SUM(F13)</f>
        <v>4920.6521482229255</v>
      </c>
      <c r="K32" s="143">
        <f aca="true" t="shared" si="3" ref="K32:K39">H32-J32</f>
        <v>0</v>
      </c>
    </row>
    <row r="33" spans="1:11" ht="12.75" hidden="1">
      <c r="A33" s="5"/>
      <c r="B33" s="143">
        <f>B15-SUM(B16:B19)</f>
        <v>0</v>
      </c>
      <c r="G33" s="46" t="s">
        <v>312</v>
      </c>
      <c r="H33" s="6">
        <f>SUM('Table 3.18-Nixie UAA'!I6)</f>
        <v>464.9069794068162</v>
      </c>
      <c r="J33" s="6">
        <f>SUM(F14)</f>
        <v>464.9069794068162</v>
      </c>
      <c r="K33" s="143">
        <f t="shared" si="3"/>
        <v>0</v>
      </c>
    </row>
    <row r="34" spans="1:11" ht="12.75" hidden="1">
      <c r="A34" s="5"/>
      <c r="B34" s="143">
        <f>B29-SUM('Table 3.23-CIOSS Summary'!C4,'Table 3.23-CIOSS Summary'!C8,'Table 3.23-CIOSS Summary'!C11)</f>
        <v>0</v>
      </c>
      <c r="G34" s="46" t="s">
        <v>313</v>
      </c>
      <c r="H34" s="6">
        <f>SUM('Table 3.21-CFS CIOSS Rejs'!H9)</f>
        <v>8747.456029386414</v>
      </c>
      <c r="J34" s="6">
        <f>SUM(F9,F19)</f>
        <v>8747.456029386414</v>
      </c>
      <c r="K34" s="143">
        <f t="shared" si="3"/>
        <v>0</v>
      </c>
    </row>
    <row r="35" spans="1:11" ht="12.75" hidden="1">
      <c r="A35" s="5"/>
      <c r="B35" s="240"/>
      <c r="G35" s="483" t="s">
        <v>502</v>
      </c>
      <c r="H35" s="6">
        <f>SUM('Table 3.23-CIOSS Summary'!I4,'Table 3.23-CIOSS Summary'!I8,'Table 3.23-CIOSS Summary'!I11)</f>
        <v>42369.85796776261</v>
      </c>
      <c r="J35" s="6">
        <f>SUM(F5,F15)</f>
        <v>42369.85796776261</v>
      </c>
      <c r="K35" s="143">
        <f t="shared" si="3"/>
        <v>0</v>
      </c>
    </row>
    <row r="36" spans="1:11" ht="12.75" hidden="1">
      <c r="A36" s="5"/>
      <c r="B36" s="240"/>
      <c r="G36" s="483" t="s">
        <v>503</v>
      </c>
      <c r="H36" s="6">
        <f>'Table 3.25-REC Summary'!K4+'Table 3.25-REC Summary'!K8</f>
        <v>29011.802823938535</v>
      </c>
      <c r="J36" s="6">
        <f>SUM(F7:F8,F17:F18)</f>
        <v>29011.802823938535</v>
      </c>
      <c r="K36" s="143">
        <f t="shared" si="3"/>
        <v>0</v>
      </c>
    </row>
    <row r="37" spans="1:11" ht="12.75" hidden="1">
      <c r="A37" s="5"/>
      <c r="B37" s="240"/>
      <c r="G37" s="67" t="s">
        <v>518</v>
      </c>
      <c r="H37" s="32">
        <f>'Table 3.30-UAA MP Cost'!F8</f>
        <v>68221.10024416864</v>
      </c>
      <c r="J37" s="6">
        <f>F23</f>
        <v>68221.10024416864</v>
      </c>
      <c r="K37" s="143">
        <f t="shared" si="3"/>
        <v>0</v>
      </c>
    </row>
    <row r="38" spans="1:11" ht="12.75" hidden="1">
      <c r="A38" s="5"/>
      <c r="G38" s="67" t="s">
        <v>315</v>
      </c>
      <c r="H38" s="32">
        <f>SUM(F24:F26)</f>
        <v>0</v>
      </c>
      <c r="I38" s="27"/>
      <c r="J38" s="32">
        <f>SUM(F24:F26)</f>
        <v>0</v>
      </c>
      <c r="K38" s="143">
        <f t="shared" si="3"/>
        <v>0</v>
      </c>
    </row>
    <row r="39" spans="1:11" ht="12.75" hidden="1">
      <c r="A39" s="5"/>
      <c r="B39" s="240"/>
      <c r="G39" s="46" t="s">
        <v>314</v>
      </c>
      <c r="H39" s="6">
        <f>SUM(H32:H38)</f>
        <v>153735.77619288594</v>
      </c>
      <c r="J39" s="6">
        <f>SUM(J32:J38)</f>
        <v>153735.77619288594</v>
      </c>
      <c r="K39" s="143">
        <f t="shared" si="3"/>
        <v>0</v>
      </c>
    </row>
    <row r="40" spans="1:8" ht="12.75">
      <c r="A40" s="283"/>
      <c r="B40" s="283"/>
      <c r="C40" s="283"/>
      <c r="D40" s="283"/>
      <c r="E40" s="283"/>
      <c r="F40" s="283"/>
      <c r="H40" s="240"/>
    </row>
    <row r="41" ht="12.75">
      <c r="A41" s="284" t="s">
        <v>235</v>
      </c>
    </row>
    <row r="42" spans="1:5" ht="12.75">
      <c r="A42" s="241" t="s">
        <v>65</v>
      </c>
      <c r="D42" s="12"/>
      <c r="E42" s="241" t="s">
        <v>679</v>
      </c>
    </row>
    <row r="43" spans="1:10" ht="12.75">
      <c r="A43" s="241" t="s">
        <v>580</v>
      </c>
      <c r="D43" s="12"/>
      <c r="E43" s="241" t="s">
        <v>680</v>
      </c>
      <c r="F43" s="6"/>
      <c r="H43" s="234"/>
      <c r="J43" s="6"/>
    </row>
    <row r="44" spans="1:10" ht="12.75">
      <c r="A44" s="241" t="s">
        <v>581</v>
      </c>
      <c r="D44" s="12"/>
      <c r="E44" s="241" t="s">
        <v>681</v>
      </c>
      <c r="F44" s="6"/>
      <c r="H44" s="234"/>
      <c r="J44" s="6"/>
    </row>
    <row r="45" spans="1:10" ht="12.75">
      <c r="A45" s="241" t="s">
        <v>583</v>
      </c>
      <c r="E45" s="241" t="s">
        <v>682</v>
      </c>
      <c r="J45" s="6"/>
    </row>
    <row r="46" spans="1:6" ht="12.75">
      <c r="A46" s="241" t="s">
        <v>678</v>
      </c>
      <c r="E46" s="241" t="s">
        <v>683</v>
      </c>
      <c r="F46" s="6"/>
    </row>
    <row r="47" spans="1:6" ht="12.75">
      <c r="A47" s="241" t="s">
        <v>584</v>
      </c>
      <c r="E47" s="241" t="s">
        <v>43</v>
      </c>
      <c r="F47" s="6"/>
    </row>
    <row r="48" ht="12.75">
      <c r="A48" s="241" t="s">
        <v>615</v>
      </c>
    </row>
    <row r="49" ht="12.75">
      <c r="A49" s="241" t="s">
        <v>585</v>
      </c>
    </row>
    <row r="50" ht="12.75">
      <c r="A50" s="241" t="s">
        <v>588</v>
      </c>
    </row>
    <row r="51" ht="12.75">
      <c r="A51" s="241" t="s">
        <v>589</v>
      </c>
    </row>
    <row r="52" ht="12.75">
      <c r="A52" s="241" t="s">
        <v>616</v>
      </c>
    </row>
  </sheetData>
  <sheetProtection/>
  <printOptions horizontalCentered="1"/>
  <pageMargins left="0.75" right="0.75" top="1" bottom="1" header="0.5" footer="0.5"/>
  <pageSetup fitToHeight="1" fitToWidth="1" horizontalDpi="600" verticalDpi="600" orientation="landscape" scale="90" r:id="rId3"/>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sheetPr codeName="Sheet9">
    <pageSetUpPr fitToPage="1"/>
  </sheetPr>
  <dimension ref="A1:C14"/>
  <sheetViews>
    <sheetView zoomScale="70" zoomScaleNormal="70" zoomScalePageLayoutView="0" workbookViewId="0" topLeftCell="A1">
      <selection activeCell="A1" sqref="A1"/>
    </sheetView>
  </sheetViews>
  <sheetFormatPr defaultColWidth="9.140625" defaultRowHeight="12.75"/>
  <cols>
    <col min="1" max="1" width="13.57421875" style="18" customWidth="1"/>
    <col min="2" max="3" width="11.7109375" style="18" customWidth="1"/>
    <col min="4" max="16384" width="9.140625" style="18" customWidth="1"/>
  </cols>
  <sheetData>
    <row r="1" ht="15.75" customHeight="1">
      <c r="A1" s="157" t="s">
        <v>765</v>
      </c>
    </row>
    <row r="2" ht="15.75" customHeight="1">
      <c r="A2" s="158" t="s">
        <v>787</v>
      </c>
    </row>
    <row r="3" ht="4.5" customHeight="1">
      <c r="A3" s="307"/>
    </row>
    <row r="4" spans="1:3" ht="25.5">
      <c r="A4" s="431" t="s">
        <v>357</v>
      </c>
      <c r="B4" s="168" t="s">
        <v>250</v>
      </c>
      <c r="C4" s="227" t="s">
        <v>172</v>
      </c>
    </row>
    <row r="5" spans="1:3" ht="12.75">
      <c r="A5" s="151" t="s">
        <v>319</v>
      </c>
      <c r="B5" s="44">
        <f>'Table 3.37-Notice Inputs'!B19/1000</f>
        <v>6960.40180637121</v>
      </c>
      <c r="C5" s="79">
        <f>B5/B7</f>
        <v>0.5623906983632037</v>
      </c>
    </row>
    <row r="6" spans="1:3" ht="12.75">
      <c r="A6" s="151" t="s">
        <v>318</v>
      </c>
      <c r="B6" s="44">
        <f>'Table 3.37-Notice Inputs'!B20/1000</f>
        <v>5416.050767664853</v>
      </c>
      <c r="C6" s="80">
        <f>B6/B7</f>
        <v>0.43760930163679645</v>
      </c>
    </row>
    <row r="7" spans="1:3" ht="12.75">
      <c r="A7" s="151" t="s">
        <v>102</v>
      </c>
      <c r="B7" s="37">
        <f>SUM(B5:B6)</f>
        <v>12376.452574036062</v>
      </c>
      <c r="C7" s="599">
        <f>SUM(C5:C6)</f>
        <v>1</v>
      </c>
    </row>
    <row r="8" spans="1:3" ht="12.75">
      <c r="A8" s="141"/>
      <c r="B8" s="282"/>
      <c r="C8" s="456"/>
    </row>
    <row r="9" spans="1:3" ht="12.75">
      <c r="A9" s="66" t="s">
        <v>235</v>
      </c>
      <c r="B9" s="37"/>
      <c r="C9" s="109"/>
    </row>
    <row r="10" spans="1:3" ht="12.75">
      <c r="A10" s="125" t="s">
        <v>775</v>
      </c>
      <c r="B10" s="37"/>
      <c r="C10" s="109"/>
    </row>
    <row r="11" spans="1:3" ht="12.75">
      <c r="A11" s="4"/>
      <c r="B11" s="37"/>
      <c r="C11" s="109"/>
    </row>
    <row r="12" spans="1:3" ht="12.75">
      <c r="A12" s="4"/>
      <c r="B12" s="37"/>
      <c r="C12" s="109"/>
    </row>
    <row r="13" spans="1:3" ht="12.75">
      <c r="A13" s="4"/>
      <c r="B13" s="37"/>
      <c r="C13" s="109"/>
    </row>
    <row r="14" spans="1:3" ht="12.75">
      <c r="A14" s="4"/>
      <c r="B14" s="37"/>
      <c r="C14" s="109"/>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sheetPr codeName="Sheet47">
    <pageSetUpPr fitToPage="1"/>
  </sheetPr>
  <dimension ref="A1:O18"/>
  <sheetViews>
    <sheetView zoomScale="70" zoomScaleNormal="70" zoomScalePageLayoutView="0" workbookViewId="0" topLeftCell="A1">
      <selection activeCell="A1" sqref="A1"/>
    </sheetView>
  </sheetViews>
  <sheetFormatPr defaultColWidth="7.8515625" defaultRowHeight="12.75"/>
  <cols>
    <col min="1" max="1" width="28.140625" style="4" customWidth="1"/>
    <col min="2" max="2" width="26.28125" style="4" customWidth="1"/>
    <col min="3" max="3" width="2.7109375" style="4" customWidth="1"/>
    <col min="4" max="4" width="12.7109375" style="4" customWidth="1"/>
    <col min="5" max="5" width="2.7109375" style="4" customWidth="1"/>
    <col min="6" max="6" width="25.8515625" style="38" customWidth="1"/>
    <col min="7" max="7" width="2.7109375" style="4" customWidth="1"/>
    <col min="8" max="8" width="12.7109375" style="4" customWidth="1"/>
    <col min="9" max="9" width="2.7109375" style="4" customWidth="1"/>
    <col min="10" max="10" width="11.28125" style="4" customWidth="1"/>
    <col min="11" max="13" width="7.8515625" style="4" customWidth="1"/>
    <col min="14" max="14" width="9.421875" style="4" customWidth="1"/>
    <col min="15" max="15" width="9.28125" style="4" customWidth="1"/>
    <col min="16" max="16384" width="7.8515625" style="4" customWidth="1"/>
  </cols>
  <sheetData>
    <row r="1" spans="1:6" ht="15">
      <c r="A1" s="157" t="s">
        <v>719</v>
      </c>
      <c r="B1" s="1"/>
      <c r="C1" s="1"/>
      <c r="D1" s="1"/>
      <c r="E1" s="1"/>
      <c r="F1" s="1"/>
    </row>
    <row r="2" spans="1:6" ht="15">
      <c r="A2" s="158" t="s">
        <v>787</v>
      </c>
      <c r="B2" s="1"/>
      <c r="C2" s="1"/>
      <c r="D2" s="1"/>
      <c r="E2" s="1"/>
      <c r="F2" s="1"/>
    </row>
    <row r="3" spans="2:10" ht="25.5">
      <c r="B3" s="9" t="s">
        <v>745</v>
      </c>
      <c r="C3" s="9"/>
      <c r="D3" s="9" t="s">
        <v>457</v>
      </c>
      <c r="E3" s="9"/>
      <c r="F3" s="9" t="s">
        <v>458</v>
      </c>
      <c r="H3" s="301" t="s">
        <v>256</v>
      </c>
      <c r="I3" s="102"/>
      <c r="J3" s="3" t="s">
        <v>134</v>
      </c>
    </row>
    <row r="4" spans="1:15" ht="12.75">
      <c r="A4" s="91" t="s">
        <v>743</v>
      </c>
      <c r="B4" s="245">
        <f>SUM('Table 3.29-UAA MP Units'!B22:C22)/SUM('Table 3.29-UAA MP Units'!B27:C27)+'Table 3.29-UAA MP Units'!B12</f>
        <v>0.05747047125199172</v>
      </c>
      <c r="C4" s="571" t="s">
        <v>236</v>
      </c>
      <c r="D4" s="235">
        <f>'Table 3.37-Notice Inputs'!B4</f>
        <v>1.0360078863380962</v>
      </c>
      <c r="E4" s="303" t="s">
        <v>239</v>
      </c>
      <c r="F4" s="103">
        <f>B4/D4</f>
        <v>0.05547300557250441</v>
      </c>
      <c r="H4" s="80">
        <v>1.7618940786298556</v>
      </c>
      <c r="I4" s="80"/>
      <c r="J4" s="103">
        <f>F4*H4</f>
        <v>0.0977375600419965</v>
      </c>
      <c r="M4" s="37"/>
      <c r="N4" s="595"/>
      <c r="O4" s="38"/>
    </row>
    <row r="5" spans="1:15" ht="12.75">
      <c r="A5" s="91" t="s">
        <v>744</v>
      </c>
      <c r="B5" s="245">
        <v>0.03971647604953023</v>
      </c>
      <c r="C5" s="571" t="s">
        <v>240</v>
      </c>
      <c r="D5" s="235">
        <v>1</v>
      </c>
      <c r="E5" s="303"/>
      <c r="F5" s="103">
        <f>B5/D5</f>
        <v>0.03971647604953023</v>
      </c>
      <c r="H5" s="80">
        <v>1.7618940786298556</v>
      </c>
      <c r="I5" s="80"/>
      <c r="J5" s="103">
        <f>F5*H5</f>
        <v>0.0699762239757118</v>
      </c>
      <c r="M5" s="37"/>
      <c r="N5" s="595"/>
      <c r="O5" s="595"/>
    </row>
    <row r="6" spans="1:15" ht="12.75">
      <c r="A6" s="5" t="s">
        <v>126</v>
      </c>
      <c r="B6" s="245">
        <f>'Table 3.29-UAA MP Units'!D17+'Table 3.29-UAA MP Units'!B12</f>
        <v>0.2038856341608595</v>
      </c>
      <c r="C6" s="571" t="s">
        <v>236</v>
      </c>
      <c r="D6" s="235">
        <f>'Table 3.37-Notice Inputs'!B5</f>
        <v>8.337340046259149</v>
      </c>
      <c r="E6" s="303" t="s">
        <v>239</v>
      </c>
      <c r="F6" s="103">
        <f>B6/D6</f>
        <v>0.02445451823118816</v>
      </c>
      <c r="H6" s="80">
        <v>1.7618940786298556</v>
      </c>
      <c r="I6" s="80"/>
      <c r="J6" s="103">
        <f>F6*H6</f>
        <v>0.04308627086727627</v>
      </c>
      <c r="M6" s="37"/>
      <c r="N6" s="37"/>
      <c r="O6" s="596"/>
    </row>
    <row r="7" spans="1:10" ht="12.75">
      <c r="A7" s="91" t="s">
        <v>268</v>
      </c>
      <c r="B7" s="245">
        <f>SUM('Table 3.29-UAA MP Units'!B22:C22)/SUM('Table 3.29-UAA MP Units'!B27:C27)+'Table 3.29-UAA MP Units'!B12</f>
        <v>0.05747047125199172</v>
      </c>
      <c r="C7" s="571" t="s">
        <v>236</v>
      </c>
      <c r="D7" s="235">
        <v>1</v>
      </c>
      <c r="E7" s="303"/>
      <c r="F7" s="103">
        <f>B7/D7</f>
        <v>0.05747047125199172</v>
      </c>
      <c r="H7" s="80">
        <v>1.7618940786298556</v>
      </c>
      <c r="I7" s="80"/>
      <c r="J7" s="103">
        <f>F7*H7</f>
        <v>0.10125688299495156</v>
      </c>
    </row>
    <row r="8" spans="1:10" ht="12.75">
      <c r="A8" s="302"/>
      <c r="B8" s="302"/>
      <c r="C8" s="302"/>
      <c r="D8" s="302"/>
      <c r="E8" s="66"/>
      <c r="F8" s="243"/>
      <c r="G8" s="244"/>
      <c r="H8" s="66"/>
      <c r="I8" s="66"/>
      <c r="J8" s="66"/>
    </row>
    <row r="9" spans="1:10" ht="12.75">
      <c r="A9" s="66" t="s">
        <v>235</v>
      </c>
      <c r="B9" s="66"/>
      <c r="C9" s="66"/>
      <c r="D9" s="66"/>
      <c r="E9" s="66"/>
      <c r="F9" s="243"/>
      <c r="G9" s="66"/>
      <c r="H9" s="66"/>
      <c r="I9" s="66"/>
      <c r="J9" s="66"/>
    </row>
    <row r="10" spans="1:10" ht="12.75">
      <c r="A10" s="125" t="s">
        <v>722</v>
      </c>
      <c r="B10" s="245"/>
      <c r="C10" s="245"/>
      <c r="D10" s="66"/>
      <c r="E10" s="66"/>
      <c r="F10" s="243"/>
      <c r="G10" s="244"/>
      <c r="H10" s="66"/>
      <c r="I10" s="66"/>
      <c r="J10" s="66"/>
    </row>
    <row r="11" spans="1:10" ht="12.75">
      <c r="A11" s="25" t="s">
        <v>795</v>
      </c>
      <c r="B11" s="66"/>
      <c r="C11" s="66"/>
      <c r="D11" s="66"/>
      <c r="E11" s="66"/>
      <c r="F11" s="243"/>
      <c r="G11" s="66"/>
      <c r="H11" s="66"/>
      <c r="I11" s="66"/>
      <c r="J11" s="66"/>
    </row>
    <row r="12" spans="1:10" ht="12.75">
      <c r="A12" s="125" t="s">
        <v>706</v>
      </c>
      <c r="B12" s="66"/>
      <c r="C12" s="66"/>
      <c r="D12" s="66"/>
      <c r="E12" s="66"/>
      <c r="F12" s="243"/>
      <c r="G12" s="66"/>
      <c r="H12" s="66"/>
      <c r="I12" s="66"/>
      <c r="J12" s="66"/>
    </row>
    <row r="13" spans="1:10" ht="12.75">
      <c r="A13" s="125" t="s">
        <v>822</v>
      </c>
      <c r="B13" s="66"/>
      <c r="C13" s="66"/>
      <c r="D13" s="66"/>
      <c r="E13" s="66"/>
      <c r="F13" s="243"/>
      <c r="G13" s="66"/>
      <c r="H13" s="66"/>
      <c r="I13" s="66"/>
      <c r="J13" s="66"/>
    </row>
    <row r="14" spans="1:10" ht="12.75">
      <c r="A14" s="125"/>
      <c r="B14" s="66"/>
      <c r="C14" s="66"/>
      <c r="D14" s="66"/>
      <c r="E14" s="66"/>
      <c r="F14" s="243"/>
      <c r="G14" s="66"/>
      <c r="H14" s="66"/>
      <c r="I14" s="66"/>
      <c r="J14" s="66"/>
    </row>
    <row r="15" ht="12.75">
      <c r="A15" s="556"/>
    </row>
    <row r="16" spans="1:7" ht="12.75">
      <c r="A16" s="557"/>
      <c r="B16" s="66"/>
      <c r="C16" s="66"/>
      <c r="D16" s="66"/>
      <c r="E16" s="66"/>
      <c r="F16" s="66"/>
      <c r="G16" s="66"/>
    </row>
    <row r="17" spans="1:7" ht="12.75">
      <c r="A17" s="557"/>
      <c r="B17" s="66"/>
      <c r="C17" s="66"/>
      <c r="D17" s="66"/>
      <c r="E17" s="66"/>
      <c r="F17" s="66"/>
      <c r="G17" s="66"/>
    </row>
    <row r="18" spans="1:7" ht="12.75">
      <c r="A18" s="557"/>
      <c r="B18" s="66"/>
      <c r="C18" s="66"/>
      <c r="D18" s="66"/>
      <c r="E18" s="66"/>
      <c r="F18" s="66"/>
      <c r="G18" s="66"/>
    </row>
  </sheetData>
  <sheetProtection/>
  <printOptions horizontalCentered="1"/>
  <pageMargins left="0.75" right="0.75" top="1" bottom="1" header="0.5" footer="0.5"/>
  <pageSetup fitToHeight="1" fitToWidth="1" horizontalDpi="600" verticalDpi="600" orientation="landscape" scale="96"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sheetPr codeName="Sheet46">
    <pageSetUpPr fitToPage="1"/>
  </sheetPr>
  <dimension ref="A1:F44"/>
  <sheetViews>
    <sheetView zoomScale="70" zoomScaleNormal="70" zoomScalePageLayoutView="0" workbookViewId="0" topLeftCell="A1">
      <selection activeCell="A1" sqref="A1"/>
    </sheetView>
  </sheetViews>
  <sheetFormatPr defaultColWidth="9.140625" defaultRowHeight="12.75"/>
  <cols>
    <col min="1" max="1" width="42.7109375" style="0" customWidth="1"/>
    <col min="2" max="2" width="13.7109375" style="0" customWidth="1"/>
    <col min="3" max="3" width="3.28125" style="0" customWidth="1"/>
    <col min="4" max="4" width="10.7109375" style="0" customWidth="1"/>
    <col min="5" max="5" width="3.28125" style="0" customWidth="1"/>
    <col min="6" max="6" width="13.7109375" style="0" customWidth="1"/>
  </cols>
  <sheetData>
    <row r="1" spans="1:6" ht="15">
      <c r="A1" s="158" t="s">
        <v>720</v>
      </c>
      <c r="B1" s="17"/>
      <c r="C1" s="17"/>
      <c r="D1" s="17"/>
      <c r="E1" s="17"/>
      <c r="F1" s="17"/>
    </row>
    <row r="2" spans="1:6" ht="15">
      <c r="A2" s="158" t="s">
        <v>787</v>
      </c>
      <c r="B2" s="17"/>
      <c r="C2" s="17"/>
      <c r="D2" s="17"/>
      <c r="E2" s="17"/>
      <c r="F2" s="17"/>
    </row>
    <row r="3" spans="1:6" ht="12.75">
      <c r="A3" s="34"/>
      <c r="B3" s="148"/>
      <c r="C3" s="149"/>
      <c r="D3" s="149"/>
      <c r="E3" s="149"/>
      <c r="F3" s="150"/>
    </row>
    <row r="4" spans="1:6" ht="12.75">
      <c r="A4" s="18"/>
      <c r="B4" s="233" t="s">
        <v>226</v>
      </c>
      <c r="C4" s="233"/>
      <c r="D4" s="152"/>
      <c r="E4" s="308"/>
      <c r="F4" s="230" t="s">
        <v>117</v>
      </c>
    </row>
    <row r="5" spans="1:6" ht="12.75">
      <c r="A5" s="18"/>
      <c r="B5" s="232" t="s">
        <v>118</v>
      </c>
      <c r="C5" s="232"/>
      <c r="D5" s="155" t="s">
        <v>97</v>
      </c>
      <c r="E5" s="309"/>
      <c r="F5" s="231" t="s">
        <v>118</v>
      </c>
    </row>
    <row r="6" spans="1:6" ht="12.75">
      <c r="A6" s="250" t="s">
        <v>119</v>
      </c>
      <c r="B6" s="251"/>
      <c r="C6" s="251"/>
      <c r="D6" s="251"/>
      <c r="E6" s="310"/>
      <c r="F6" s="252"/>
    </row>
    <row r="7" spans="1:6" ht="12.75">
      <c r="A7" s="253" t="s">
        <v>120</v>
      </c>
      <c r="B7" s="254"/>
      <c r="C7" s="254"/>
      <c r="D7" s="255"/>
      <c r="E7" s="311"/>
      <c r="F7" s="256"/>
    </row>
    <row r="8" spans="1:6" ht="12.75">
      <c r="A8" s="321" t="s">
        <v>455</v>
      </c>
      <c r="B8" s="153">
        <f>'Table 3.11-Form3547 Costs'!L52</f>
        <v>0.016677149147438664</v>
      </c>
      <c r="C8" s="315" t="s">
        <v>236</v>
      </c>
      <c r="D8" s="255"/>
      <c r="E8" s="311"/>
      <c r="F8" s="256"/>
    </row>
    <row r="9" spans="1:6" ht="12.75">
      <c r="A9" s="321" t="s">
        <v>318</v>
      </c>
      <c r="B9" s="153">
        <f>'Table 3.11-Form3547 Costs'!L53</f>
        <v>0.0017062532707205766</v>
      </c>
      <c r="C9" s="315" t="s">
        <v>236</v>
      </c>
      <c r="D9" s="255"/>
      <c r="E9" s="311"/>
      <c r="F9" s="256"/>
    </row>
    <row r="10" spans="1:6" ht="12.75">
      <c r="A10" s="257" t="s">
        <v>121</v>
      </c>
      <c r="B10" s="153">
        <f>'Table 3.11-Form3547 Costs'!L54</f>
        <v>0.0730047069388734</v>
      </c>
      <c r="C10" s="315" t="s">
        <v>236</v>
      </c>
      <c r="D10" s="116"/>
      <c r="E10" s="312"/>
      <c r="F10" s="256"/>
    </row>
    <row r="11" spans="1:6" ht="12.75">
      <c r="A11" s="257" t="s">
        <v>122</v>
      </c>
      <c r="B11" s="153">
        <f>'Table 3.11-Form3547 Costs'!L55</f>
        <v>0.6903200280004727</v>
      </c>
      <c r="C11" s="315" t="s">
        <v>236</v>
      </c>
      <c r="D11" s="255"/>
      <c r="E11" s="311"/>
      <c r="F11" s="256"/>
    </row>
    <row r="12" spans="1:6" ht="12.75">
      <c r="A12" s="257" t="s">
        <v>123</v>
      </c>
      <c r="B12" s="153">
        <f>'Table 3.11-Form3547 Costs'!L56</f>
        <v>0.031786830767095736</v>
      </c>
      <c r="C12" s="315" t="s">
        <v>236</v>
      </c>
      <c r="D12" s="255"/>
      <c r="E12" s="311"/>
      <c r="F12" s="256"/>
    </row>
    <row r="13" spans="1:6" ht="12.75">
      <c r="A13" s="258" t="s">
        <v>102</v>
      </c>
      <c r="B13" s="154">
        <f>SUM(B8:B12)</f>
        <v>0.8134949681246011</v>
      </c>
      <c r="C13" s="154"/>
      <c r="D13" s="263">
        <f>'Table 3.37-Notice Inputs'!B12</f>
        <v>0.6914835416112137</v>
      </c>
      <c r="E13" s="316" t="s">
        <v>238</v>
      </c>
      <c r="F13" s="260">
        <f>B13*D13</f>
        <v>0.5625183816417005</v>
      </c>
    </row>
    <row r="14" spans="1:6" ht="12.75">
      <c r="A14" s="261"/>
      <c r="B14" s="153"/>
      <c r="C14" s="153"/>
      <c r="D14" s="259"/>
      <c r="E14" s="313"/>
      <c r="F14" s="262"/>
    </row>
    <row r="15" spans="1:6" ht="12.75">
      <c r="A15" s="253" t="s">
        <v>114</v>
      </c>
      <c r="B15" s="153"/>
      <c r="C15" s="153"/>
      <c r="D15" s="259"/>
      <c r="E15" s="313"/>
      <c r="F15" s="262"/>
    </row>
    <row r="16" spans="1:6" ht="12.75">
      <c r="A16" s="321" t="s">
        <v>455</v>
      </c>
      <c r="B16" s="153">
        <f>'Table 3.11-Form3547 Costs'!L60</f>
        <v>0.0709193277293402</v>
      </c>
      <c r="C16" s="315" t="s">
        <v>236</v>
      </c>
      <c r="D16" s="259"/>
      <c r="E16" s="313"/>
      <c r="F16" s="262"/>
    </row>
    <row r="17" spans="1:6" ht="12.75">
      <c r="A17" s="321" t="s">
        <v>318</v>
      </c>
      <c r="B17" s="153">
        <f>'Table 3.11-Form3547 Costs'!L61</f>
        <v>0.007255816556277296</v>
      </c>
      <c r="C17" s="315" t="s">
        <v>236</v>
      </c>
      <c r="D17" s="259"/>
      <c r="E17" s="313"/>
      <c r="F17" s="262"/>
    </row>
    <row r="18" spans="1:6" ht="12.75">
      <c r="A18" s="257" t="s">
        <v>121</v>
      </c>
      <c r="B18" s="153">
        <f>'Table 3.11-Form3547 Costs'!L62</f>
        <v>0.08285480255580253</v>
      </c>
      <c r="C18" s="315" t="s">
        <v>236</v>
      </c>
      <c r="D18" s="259"/>
      <c r="E18" s="313"/>
      <c r="F18" s="262"/>
    </row>
    <row r="19" spans="1:6" ht="12.75">
      <c r="A19" s="257" t="s">
        <v>122</v>
      </c>
      <c r="B19" s="153">
        <f>'Table 3.11-Form3547 Costs'!L63</f>
        <v>0.898941017177845</v>
      </c>
      <c r="C19" s="315" t="s">
        <v>236</v>
      </c>
      <c r="D19" s="259"/>
      <c r="E19" s="313"/>
      <c r="F19" s="262"/>
    </row>
    <row r="20" spans="1:6" ht="12.75">
      <c r="A20" s="257" t="s">
        <v>123</v>
      </c>
      <c r="B20" s="153">
        <f>'Table 3.11-Form3547 Costs'!L64</f>
        <v>0.03139334260736456</v>
      </c>
      <c r="C20" s="315" t="s">
        <v>236</v>
      </c>
      <c r="D20" s="259"/>
      <c r="E20" s="313"/>
      <c r="F20" s="262"/>
    </row>
    <row r="21" spans="1:6" ht="12.75">
      <c r="A21" s="253" t="s">
        <v>102</v>
      </c>
      <c r="B21" s="154">
        <f>SUM(B16:B20)</f>
        <v>1.0913643066266296</v>
      </c>
      <c r="C21" s="154"/>
      <c r="D21" s="263">
        <f>'Table 3.37-Notice Inputs'!B13</f>
        <v>0.09024553938694843</v>
      </c>
      <c r="E21" s="316" t="s">
        <v>238</v>
      </c>
      <c r="F21" s="260">
        <f>B21*D21</f>
        <v>0.09849076051918317</v>
      </c>
    </row>
    <row r="22" spans="1:6" ht="12.75">
      <c r="A22" s="261"/>
      <c r="B22" s="153"/>
      <c r="C22" s="153"/>
      <c r="D22" s="263"/>
      <c r="E22" s="313"/>
      <c r="F22" s="262"/>
    </row>
    <row r="23" spans="1:6" ht="12.75">
      <c r="A23" s="253" t="s">
        <v>124</v>
      </c>
      <c r="B23" s="153"/>
      <c r="C23" s="153"/>
      <c r="D23" s="263">
        <f>1-D13-D21</f>
        <v>0.21827091900183784</v>
      </c>
      <c r="E23" s="316" t="s">
        <v>238</v>
      </c>
      <c r="F23" s="260">
        <v>0</v>
      </c>
    </row>
    <row r="24" spans="1:6" ht="12.75">
      <c r="A24" s="261"/>
      <c r="B24" s="153"/>
      <c r="C24" s="153"/>
      <c r="D24" s="263"/>
      <c r="E24" s="314"/>
      <c r="F24" s="262"/>
    </row>
    <row r="25" spans="1:6" ht="12.75">
      <c r="A25" s="253" t="s">
        <v>125</v>
      </c>
      <c r="B25" s="153"/>
      <c r="C25" s="153"/>
      <c r="D25" s="263">
        <f>SUM(D13,D21,D23)</f>
        <v>1</v>
      </c>
      <c r="E25" s="313"/>
      <c r="F25" s="264">
        <f>SUM(F13:F23)</f>
        <v>0.6610091421608837</v>
      </c>
    </row>
    <row r="26" spans="1:6" ht="12.75">
      <c r="A26" s="261"/>
      <c r="B26" s="153"/>
      <c r="C26" s="153"/>
      <c r="D26" s="263"/>
      <c r="E26" s="313"/>
      <c r="F26" s="262"/>
    </row>
    <row r="27" spans="1:6" ht="12.75">
      <c r="A27" s="253" t="s">
        <v>126</v>
      </c>
      <c r="B27" s="153"/>
      <c r="C27" s="153"/>
      <c r="D27" s="263"/>
      <c r="E27" s="313"/>
      <c r="F27" s="262"/>
    </row>
    <row r="28" spans="1:6" ht="12.75">
      <c r="A28" s="321" t="s">
        <v>455</v>
      </c>
      <c r="B28" s="153">
        <f>'Table 3.12-Form3579 Costs'!L7</f>
        <v>0.5411438175570342</v>
      </c>
      <c r="C28" s="315" t="s">
        <v>239</v>
      </c>
      <c r="D28" s="263"/>
      <c r="E28" s="313"/>
      <c r="F28" s="262"/>
    </row>
    <row r="29" spans="1:6" ht="12.75">
      <c r="A29" s="321" t="s">
        <v>318</v>
      </c>
      <c r="B29" s="153">
        <f>'Table 3.12-Form3579 Costs'!L8</f>
        <v>0.36339971130841253</v>
      </c>
      <c r="C29" s="315" t="s">
        <v>239</v>
      </c>
      <c r="D29" s="263"/>
      <c r="E29" s="313"/>
      <c r="F29" s="262"/>
    </row>
    <row r="30" spans="1:6" ht="12.75">
      <c r="A30" s="257" t="s">
        <v>121</v>
      </c>
      <c r="B30" s="153">
        <f>'Table 3.12-Form3579 Costs'!L9</f>
        <v>0.04308627086727627</v>
      </c>
      <c r="C30" s="315" t="s">
        <v>239</v>
      </c>
      <c r="D30" s="263"/>
      <c r="E30" s="313"/>
      <c r="F30" s="262"/>
    </row>
    <row r="31" spans="1:6" ht="12.75">
      <c r="A31" s="257" t="s">
        <v>122</v>
      </c>
      <c r="B31" s="153">
        <f>'Table 3.12-Form3579 Costs'!L10</f>
        <v>0.15087195111452856</v>
      </c>
      <c r="C31" s="315" t="s">
        <v>239</v>
      </c>
      <c r="D31" s="263"/>
      <c r="E31" s="313"/>
      <c r="F31" s="262"/>
    </row>
    <row r="32" spans="1:6" ht="12.75">
      <c r="A32" s="257" t="s">
        <v>123</v>
      </c>
      <c r="B32" s="153">
        <f>'Table 3.12-Form3579 Costs'!L11</f>
        <v>0.0038270972952615476</v>
      </c>
      <c r="C32" s="315" t="s">
        <v>239</v>
      </c>
      <c r="D32" s="263"/>
      <c r="E32" s="313"/>
      <c r="F32" s="262"/>
    </row>
    <row r="33" spans="1:6" ht="12.75">
      <c r="A33" s="253" t="s">
        <v>127</v>
      </c>
      <c r="B33" s="154">
        <f>SUM(B28:B32)</f>
        <v>1.1023288481425133</v>
      </c>
      <c r="C33" s="154"/>
      <c r="D33" s="263">
        <v>1</v>
      </c>
      <c r="E33" s="313"/>
      <c r="F33" s="260">
        <f>B33*D33</f>
        <v>1.1023288481425133</v>
      </c>
    </row>
    <row r="34" spans="1:6" ht="12.75">
      <c r="A34" s="257"/>
      <c r="B34" s="153"/>
      <c r="C34" s="153"/>
      <c r="D34" s="255"/>
      <c r="E34" s="311"/>
      <c r="F34" s="262"/>
    </row>
    <row r="35" spans="1:6" ht="12.75">
      <c r="A35" s="591" t="s">
        <v>10</v>
      </c>
      <c r="B35" s="266"/>
      <c r="C35" s="266"/>
      <c r="D35" s="267"/>
      <c r="E35" s="267"/>
      <c r="F35" s="268">
        <f>(F25*'Table 3.37-Notice Inputs'!B17+F33*'Table 3.37-Notice Inputs'!B21)/SUM('Table 3.37-Notice Inputs'!B17,'Table 3.37-Notice Inputs'!B21)</f>
        <v>0.7365030103442783</v>
      </c>
    </row>
    <row r="36" spans="1:6" ht="12.75" hidden="1">
      <c r="A36" s="27"/>
      <c r="B36" s="35"/>
      <c r="C36" s="35"/>
      <c r="D36" s="35"/>
      <c r="E36" s="35"/>
      <c r="F36" s="27"/>
    </row>
    <row r="37" spans="2:6" ht="12.75" hidden="1">
      <c r="B37" s="35"/>
      <c r="C37" s="35"/>
      <c r="D37" s="35"/>
      <c r="E37" s="408" t="s">
        <v>188</v>
      </c>
      <c r="F37" s="143">
        <f>F25-'Table 3.11-Form3547 Costs'!P69</f>
        <v>0</v>
      </c>
    </row>
    <row r="38" spans="1:6" ht="12.75" hidden="1">
      <c r="A38" s="27"/>
      <c r="B38" s="35"/>
      <c r="C38" s="35"/>
      <c r="D38" s="35"/>
      <c r="E38" s="408" t="s">
        <v>188</v>
      </c>
      <c r="F38" s="143">
        <f>F33-'Table 3.12-Form3579 Costs'!P12</f>
        <v>0</v>
      </c>
    </row>
    <row r="39" spans="1:6" ht="12.75" hidden="1">
      <c r="A39" s="27"/>
      <c r="B39" s="35"/>
      <c r="C39" s="35"/>
      <c r="D39" s="35"/>
      <c r="E39" s="408" t="s">
        <v>188</v>
      </c>
      <c r="F39" s="143">
        <f>F35-'Table 3.1-UAA Summary'!M58</f>
        <v>0</v>
      </c>
    </row>
    <row r="40" spans="1:6" ht="12.75">
      <c r="A40" s="317"/>
      <c r="B40" s="318"/>
      <c r="C40" s="318"/>
      <c r="D40" s="35"/>
      <c r="E40" s="35"/>
      <c r="F40" s="27"/>
    </row>
    <row r="41" spans="1:6" ht="12.75">
      <c r="A41" s="27" t="s">
        <v>235</v>
      </c>
      <c r="B41" s="35"/>
      <c r="C41" s="35"/>
      <c r="D41" s="35"/>
      <c r="E41" s="35"/>
      <c r="F41" s="27"/>
    </row>
    <row r="42" spans="1:6" ht="12.75">
      <c r="A42" s="241" t="s">
        <v>480</v>
      </c>
      <c r="B42" s="35"/>
      <c r="C42" s="35"/>
      <c r="D42" s="35"/>
      <c r="E42" s="35"/>
      <c r="F42" s="27"/>
    </row>
    <row r="43" spans="1:6" ht="12.75">
      <c r="A43" s="241" t="s">
        <v>707</v>
      </c>
      <c r="B43" s="35"/>
      <c r="C43" s="35"/>
      <c r="D43" s="35"/>
      <c r="E43" s="35"/>
      <c r="F43" s="27"/>
    </row>
    <row r="44" ht="12.75">
      <c r="A44" s="12" t="s">
        <v>668</v>
      </c>
    </row>
  </sheetData>
  <sheetProtection/>
  <printOptions horizontalCentered="1"/>
  <pageMargins left="0.75" right="0.75" top="1" bottom="1" header="0.5" footer="0.5"/>
  <pageSetup fitToHeight="1" fitToWidth="1" horizontalDpi="600" verticalDpi="600" orientation="landscape" scale="92"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sheetPr codeName="Sheet40">
    <pageSetUpPr fitToPage="1"/>
  </sheetPr>
  <dimension ref="A1:M34"/>
  <sheetViews>
    <sheetView zoomScale="70" zoomScaleNormal="70" zoomScalePageLayoutView="0" workbookViewId="0" topLeftCell="A1">
      <selection activeCell="A1" sqref="A1"/>
    </sheetView>
  </sheetViews>
  <sheetFormatPr defaultColWidth="9.140625" defaultRowHeight="12.75"/>
  <cols>
    <col min="1" max="1" width="25.28125" style="0" customWidth="1"/>
    <col min="2" max="5" width="10.7109375" style="0" customWidth="1"/>
    <col min="6" max="6" width="3.7109375" style="0" customWidth="1"/>
    <col min="7" max="9" width="10.7109375" style="0" customWidth="1"/>
    <col min="10" max="10" width="3.7109375" style="0" customWidth="1"/>
    <col min="11" max="13" width="10.7109375" style="0" customWidth="1"/>
  </cols>
  <sheetData>
    <row r="1" ht="15">
      <c r="A1" s="158" t="s">
        <v>721</v>
      </c>
    </row>
    <row r="2" ht="15">
      <c r="A2" s="158" t="s">
        <v>787</v>
      </c>
    </row>
    <row r="4" spans="2:13" ht="12.75">
      <c r="B4" s="469" t="s">
        <v>574</v>
      </c>
      <c r="C4" s="395"/>
      <c r="D4" s="395"/>
      <c r="E4" s="396"/>
      <c r="F4" s="18"/>
      <c r="G4" s="469" t="s">
        <v>479</v>
      </c>
      <c r="H4" s="395"/>
      <c r="I4" s="396"/>
      <c r="K4" s="469" t="s">
        <v>269</v>
      </c>
      <c r="L4" s="395"/>
      <c r="M4" s="396"/>
    </row>
    <row r="5" spans="2:13" ht="12.75">
      <c r="B5" s="472" t="s">
        <v>460</v>
      </c>
      <c r="C5" s="221" t="s">
        <v>459</v>
      </c>
      <c r="D5" s="221" t="s">
        <v>460</v>
      </c>
      <c r="E5" s="473" t="s">
        <v>461</v>
      </c>
      <c r="F5" s="18"/>
      <c r="G5" s="472"/>
      <c r="H5" s="221"/>
      <c r="I5" s="473"/>
      <c r="K5" s="472"/>
      <c r="L5" s="18"/>
      <c r="M5" s="369"/>
    </row>
    <row r="6" spans="1:13" ht="12.75">
      <c r="A6" s="283" t="s">
        <v>396</v>
      </c>
      <c r="B6" s="470" t="s">
        <v>462</v>
      </c>
      <c r="C6" s="451" t="s">
        <v>463</v>
      </c>
      <c r="D6" s="451" t="s">
        <v>464</v>
      </c>
      <c r="E6" s="471" t="s">
        <v>464</v>
      </c>
      <c r="F6" s="18"/>
      <c r="G6" s="475" t="s">
        <v>147</v>
      </c>
      <c r="H6" s="476" t="s">
        <v>344</v>
      </c>
      <c r="I6" s="394" t="s">
        <v>102</v>
      </c>
      <c r="K6" s="475" t="s">
        <v>147</v>
      </c>
      <c r="L6" s="476" t="s">
        <v>344</v>
      </c>
      <c r="M6" s="394" t="s">
        <v>102</v>
      </c>
    </row>
    <row r="7" ht="12.75">
      <c r="A7" s="16" t="s">
        <v>465</v>
      </c>
    </row>
    <row r="8" spans="1:13" ht="12.75">
      <c r="A8" s="353" t="s">
        <v>408</v>
      </c>
      <c r="B8" s="6">
        <v>236254.68799999997</v>
      </c>
      <c r="C8" s="6">
        <v>3543.8203199999994</v>
      </c>
      <c r="D8" s="6">
        <v>89128.26232144</v>
      </c>
      <c r="E8" s="6">
        <v>143582.60535855996</v>
      </c>
      <c r="F8" s="6"/>
      <c r="G8" s="6">
        <v>0</v>
      </c>
      <c r="H8" s="6">
        <v>54271.015951805355</v>
      </c>
      <c r="I8" s="6">
        <f>SUM(G8:H8)</f>
        <v>54271.015951805355</v>
      </c>
      <c r="J8" s="6"/>
      <c r="K8" s="6">
        <f>B8+G8</f>
        <v>236254.68799999997</v>
      </c>
      <c r="L8" s="6">
        <f>H8</f>
        <v>54271.015951805355</v>
      </c>
      <c r="M8" s="6">
        <f>SUM(K8:L8)</f>
        <v>290525.7039518053</v>
      </c>
    </row>
    <row r="9" spans="1:13" ht="12.75">
      <c r="A9" s="353" t="s">
        <v>407</v>
      </c>
      <c r="B9" s="6">
        <v>821568.6159539274</v>
      </c>
      <c r="C9" s="6">
        <v>41078.430797696376</v>
      </c>
      <c r="D9" s="6">
        <v>298927.7409148365</v>
      </c>
      <c r="E9" s="6">
        <v>481562.44424139446</v>
      </c>
      <c r="F9" s="6"/>
      <c r="G9" s="6">
        <v>0</v>
      </c>
      <c r="H9" s="6">
        <v>56010.405902148406</v>
      </c>
      <c r="I9" s="6">
        <f>SUM(G9:H9)</f>
        <v>56010.405902148406</v>
      </c>
      <c r="J9" s="6"/>
      <c r="K9" s="6">
        <f>B9+G9</f>
        <v>821568.6159539274</v>
      </c>
      <c r="L9" s="6">
        <f>H9</f>
        <v>56010.405902148406</v>
      </c>
      <c r="M9" s="6">
        <f>SUM(K9:L9)</f>
        <v>877579.0218560759</v>
      </c>
    </row>
    <row r="10" spans="1:13" ht="12.75">
      <c r="A10" s="353" t="s">
        <v>102</v>
      </c>
      <c r="B10" s="6">
        <f>SUM(B8:B9)</f>
        <v>1057823.3039539275</v>
      </c>
      <c r="C10" s="6">
        <f>SUM(C8:C9)</f>
        <v>44622.251117696374</v>
      </c>
      <c r="D10" s="6">
        <f>SUM(D8:D9)</f>
        <v>388056.0032362765</v>
      </c>
      <c r="E10" s="6">
        <f>SUM(E8:E9)</f>
        <v>625145.0495999544</v>
      </c>
      <c r="F10" s="6"/>
      <c r="G10" s="6">
        <f>SUM(G8:G9)</f>
        <v>0</v>
      </c>
      <c r="H10" s="6">
        <f>SUM(H8:H9)</f>
        <v>110281.42185395377</v>
      </c>
      <c r="I10" s="6">
        <f>SUM(I8:I9)</f>
        <v>110281.42185395377</v>
      </c>
      <c r="J10" s="6"/>
      <c r="K10" s="6">
        <f>SUM(K8:K9)</f>
        <v>1057823.3039539275</v>
      </c>
      <c r="L10" s="6">
        <f>SUM(L8:L9)</f>
        <v>110281.42185395377</v>
      </c>
      <c r="M10" s="6">
        <f>SUM(M8:M9)</f>
        <v>1168104.7258078812</v>
      </c>
    </row>
    <row r="11" spans="2:11" ht="12.75">
      <c r="B11" s="6"/>
      <c r="C11" s="6"/>
      <c r="D11" s="6"/>
      <c r="E11" s="6"/>
      <c r="F11" s="6"/>
      <c r="G11" s="6"/>
      <c r="H11" s="6"/>
      <c r="I11" s="6"/>
      <c r="J11" s="6"/>
      <c r="K11" s="6"/>
    </row>
    <row r="12" spans="1:13" ht="12.75">
      <c r="A12" s="16" t="s">
        <v>276</v>
      </c>
      <c r="B12" s="6">
        <v>0</v>
      </c>
      <c r="C12" s="6">
        <v>0</v>
      </c>
      <c r="D12" s="6">
        <v>0</v>
      </c>
      <c r="E12" s="6">
        <v>0</v>
      </c>
      <c r="F12" s="6"/>
      <c r="G12" s="6">
        <v>39514.730292652945</v>
      </c>
      <c r="H12" s="6">
        <v>3469.4962184673745</v>
      </c>
      <c r="I12" s="6">
        <f>SUM(G12:H12)</f>
        <v>42984.226511120316</v>
      </c>
      <c r="J12" s="6"/>
      <c r="K12" s="6">
        <f>B12+G12</f>
        <v>39514.730292652945</v>
      </c>
      <c r="L12" s="6">
        <f>H12</f>
        <v>3469.4962184673745</v>
      </c>
      <c r="M12" s="6">
        <f>SUM(K12:L12)</f>
        <v>42984.226511120316</v>
      </c>
    </row>
    <row r="13" spans="2:11" ht="12.75">
      <c r="B13" s="6"/>
      <c r="C13" s="6"/>
      <c r="D13" s="6"/>
      <c r="E13" s="6"/>
      <c r="F13" s="6"/>
      <c r="G13" s="6"/>
      <c r="H13" s="6"/>
      <c r="I13" s="6"/>
      <c r="J13" s="6"/>
      <c r="K13" s="6"/>
    </row>
    <row r="14" spans="1:11" ht="12.75">
      <c r="A14" s="16" t="s">
        <v>466</v>
      </c>
      <c r="B14" s="6"/>
      <c r="C14" s="6"/>
      <c r="D14" s="6"/>
      <c r="E14" s="6"/>
      <c r="F14" s="6"/>
      <c r="G14" s="6"/>
      <c r="H14" s="6"/>
      <c r="I14" s="6"/>
      <c r="J14" s="6"/>
      <c r="K14" s="6"/>
    </row>
    <row r="15" spans="1:13" ht="12.75">
      <c r="A15" s="353" t="s">
        <v>408</v>
      </c>
      <c r="B15" s="6">
        <v>399675.74879522243</v>
      </c>
      <c r="C15" s="6">
        <v>5995.136231928336</v>
      </c>
      <c r="D15" s="6">
        <v>157028.99896410684</v>
      </c>
      <c r="E15" s="6">
        <v>236651.61359918732</v>
      </c>
      <c r="F15" s="6"/>
      <c r="G15" s="6">
        <v>0</v>
      </c>
      <c r="H15" s="6">
        <v>41670.02618250581</v>
      </c>
      <c r="I15" s="6">
        <f>SUM(G15:H15)</f>
        <v>41670.02618250581</v>
      </c>
      <c r="J15" s="6"/>
      <c r="K15" s="6">
        <f>B15+G15</f>
        <v>399675.74879522243</v>
      </c>
      <c r="L15" s="6">
        <f>H15</f>
        <v>41670.02618250581</v>
      </c>
      <c r="M15" s="6">
        <f>SUM(K15:L15)</f>
        <v>441345.77497772826</v>
      </c>
    </row>
    <row r="16" spans="1:13" ht="12.75">
      <c r="A16" s="353" t="s">
        <v>407</v>
      </c>
      <c r="B16" s="6">
        <v>911527.4131366772</v>
      </c>
      <c r="C16" s="6">
        <v>45576.37065683386</v>
      </c>
      <c r="D16" s="6">
        <v>345989.0530981204</v>
      </c>
      <c r="E16" s="6">
        <v>519961.98938172293</v>
      </c>
      <c r="F16" s="6"/>
      <c r="G16" s="6">
        <v>18074.867849018912</v>
      </c>
      <c r="H16" s="6">
        <v>34024.459268803235</v>
      </c>
      <c r="I16" s="6">
        <f>SUM(G16:H16)</f>
        <v>52099.32711782215</v>
      </c>
      <c r="J16" s="6"/>
      <c r="K16" s="6">
        <f>B16+G16</f>
        <v>929602.2809856961</v>
      </c>
      <c r="L16" s="6">
        <f>H16</f>
        <v>34024.459268803235</v>
      </c>
      <c r="M16" s="6">
        <f>SUM(K16:L16)</f>
        <v>963626.7402544994</v>
      </c>
    </row>
    <row r="17" spans="1:13" ht="12.75">
      <c r="A17" s="353" t="s">
        <v>102</v>
      </c>
      <c r="B17" s="6">
        <f>SUM(B15:B16)</f>
        <v>1311203.1619318996</v>
      </c>
      <c r="C17" s="6">
        <f>SUM(C15:C16)</f>
        <v>51571.5068887622</v>
      </c>
      <c r="D17" s="6">
        <f>SUM(D15:D16)</f>
        <v>503018.0520622272</v>
      </c>
      <c r="E17" s="6">
        <f>SUM(E15:E16)</f>
        <v>756613.6029809102</v>
      </c>
      <c r="F17" s="6"/>
      <c r="G17" s="6">
        <f>SUM(G15:G16)</f>
        <v>18074.867849018912</v>
      </c>
      <c r="H17" s="6">
        <f>SUM(H15:H16)</f>
        <v>75694.48545130904</v>
      </c>
      <c r="I17" s="6">
        <f>SUM(I15:I16)</f>
        <v>93769.35330032796</v>
      </c>
      <c r="J17" s="6"/>
      <c r="K17" s="6">
        <f>SUM(K15:K16)</f>
        <v>1329278.0297809185</v>
      </c>
      <c r="L17" s="6">
        <f>SUM(L15:L16)</f>
        <v>75694.48545130904</v>
      </c>
      <c r="M17" s="6">
        <f>SUM(M15:M16)</f>
        <v>1404972.5152322277</v>
      </c>
    </row>
    <row r="18" spans="2:11" ht="12.75">
      <c r="B18" s="6"/>
      <c r="C18" s="6"/>
      <c r="D18" s="6"/>
      <c r="E18" s="6"/>
      <c r="F18" s="6"/>
      <c r="G18" s="6"/>
      <c r="H18" s="6"/>
      <c r="I18" s="6"/>
      <c r="J18" s="6"/>
      <c r="K18" s="6"/>
    </row>
    <row r="19" spans="1:11" ht="12.75">
      <c r="A19" s="49" t="s">
        <v>467</v>
      </c>
      <c r="B19" s="6"/>
      <c r="C19" s="6"/>
      <c r="D19" s="6"/>
      <c r="E19" s="6"/>
      <c r="F19" s="6"/>
      <c r="G19" s="6"/>
      <c r="H19" s="6"/>
      <c r="I19" s="6"/>
      <c r="J19" s="6"/>
      <c r="K19" s="6"/>
    </row>
    <row r="20" spans="1:13" ht="12.75">
      <c r="A20" s="353" t="s">
        <v>408</v>
      </c>
      <c r="B20" s="6">
        <v>0</v>
      </c>
      <c r="C20" s="6">
        <v>0</v>
      </c>
      <c r="D20" s="6">
        <v>0</v>
      </c>
      <c r="E20" s="6">
        <v>0</v>
      </c>
      <c r="F20" s="6"/>
      <c r="G20" s="6">
        <v>0</v>
      </c>
      <c r="H20" s="6">
        <v>0</v>
      </c>
      <c r="I20" s="6">
        <f>SUM(G20:H20)</f>
        <v>0</v>
      </c>
      <c r="J20" s="6"/>
      <c r="K20" s="6">
        <f>B20+G20</f>
        <v>0</v>
      </c>
      <c r="L20" s="6">
        <f>H20</f>
        <v>0</v>
      </c>
      <c r="M20" s="6">
        <f>SUM(K20:L20)</f>
        <v>0</v>
      </c>
    </row>
    <row r="21" spans="1:13" ht="12.75">
      <c r="A21" s="353" t="s">
        <v>407</v>
      </c>
      <c r="B21" s="6">
        <v>621685.7261141733</v>
      </c>
      <c r="C21" s="6">
        <v>31084.286305708665</v>
      </c>
      <c r="D21" s="6">
        <v>236240.57592338586</v>
      </c>
      <c r="E21" s="6">
        <v>354360.8638850788</v>
      </c>
      <c r="F21" s="6"/>
      <c r="G21" s="6">
        <v>1626481.0889682511</v>
      </c>
      <c r="H21" s="6">
        <v>430807.9188025516</v>
      </c>
      <c r="I21" s="6">
        <f>SUM(G21:H21)</f>
        <v>2057289.0077708028</v>
      </c>
      <c r="J21" s="6"/>
      <c r="K21" s="6">
        <f>B21+G21</f>
        <v>2248166.8150824243</v>
      </c>
      <c r="L21" s="6">
        <f>H21</f>
        <v>430807.9188025516</v>
      </c>
      <c r="M21" s="6">
        <f>SUM(K21:L21)</f>
        <v>2678974.733884976</v>
      </c>
    </row>
    <row r="22" spans="1:13" ht="12.75">
      <c r="A22" s="353" t="s">
        <v>102</v>
      </c>
      <c r="B22" s="6">
        <f>SUM(B20:B21)</f>
        <v>621685.7261141733</v>
      </c>
      <c r="C22" s="6">
        <f>SUM(C20:C21)</f>
        <v>31084.286305708665</v>
      </c>
      <c r="D22" s="6">
        <f>SUM(D20:D21)</f>
        <v>236240.57592338586</v>
      </c>
      <c r="E22" s="6">
        <f>SUM(E20:E21)</f>
        <v>354360.8638850788</v>
      </c>
      <c r="F22" s="6"/>
      <c r="G22" s="6">
        <f>SUM(G20:G21)</f>
        <v>1626481.0889682511</v>
      </c>
      <c r="H22" s="6">
        <f>SUM(H20:H21)</f>
        <v>430807.9188025516</v>
      </c>
      <c r="I22" s="6">
        <f>SUM(I20:I21)</f>
        <v>2057289.0077708028</v>
      </c>
      <c r="J22" s="6"/>
      <c r="K22" s="6">
        <f>SUM(K20:K21)</f>
        <v>2248166.8150824243</v>
      </c>
      <c r="L22" s="6">
        <f>SUM(L20:L21)</f>
        <v>430807.9188025516</v>
      </c>
      <c r="M22" s="6">
        <f>SUM(M20:M21)</f>
        <v>2678974.733884976</v>
      </c>
    </row>
    <row r="23" spans="2:11" ht="12.75">
      <c r="B23" s="6"/>
      <c r="C23" s="6"/>
      <c r="D23" s="6"/>
      <c r="E23" s="6"/>
      <c r="F23" s="6"/>
      <c r="G23" s="6"/>
      <c r="H23" s="6"/>
      <c r="I23" s="6"/>
      <c r="J23" s="6"/>
      <c r="K23" s="6"/>
    </row>
    <row r="24" spans="1:13" ht="12.75">
      <c r="A24" s="16" t="s">
        <v>419</v>
      </c>
      <c r="B24" s="6">
        <f>SUM(B10,B12,B17,B22)</f>
        <v>2990712.1920000007</v>
      </c>
      <c r="C24" s="6">
        <f>SUM(C10,C12,C17,C22)</f>
        <v>127278.04431216724</v>
      </c>
      <c r="D24" s="6">
        <f>SUM(D10,D12,D17,D22)</f>
        <v>1127314.6312218895</v>
      </c>
      <c r="E24" s="6">
        <f>SUM(E10,E12,E17,E22)</f>
        <v>1736119.5164659435</v>
      </c>
      <c r="F24" s="6"/>
      <c r="G24" s="6">
        <f>SUM(G10,G12,G17,G22)</f>
        <v>1684070.687109923</v>
      </c>
      <c r="H24" s="6">
        <f>SUM(H10,H12,H17,H22)</f>
        <v>620253.3223262818</v>
      </c>
      <c r="I24" s="6">
        <f>SUM(I10,I12,I17,I22)</f>
        <v>2304324.009436205</v>
      </c>
      <c r="J24" s="6"/>
      <c r="K24" s="6">
        <f>SUM(K10,K12,K17,K22)</f>
        <v>4674782.879109923</v>
      </c>
      <c r="L24" s="6">
        <f>SUM(L10,L12,L17,L22)</f>
        <v>620253.3223262818</v>
      </c>
      <c r="M24" s="6">
        <f>SUM(M10,M12,M17,M22)</f>
        <v>5295036.201436205</v>
      </c>
    </row>
    <row r="25" ht="12.75" hidden="1"/>
    <row r="26" spans="1:9" ht="12.75" hidden="1">
      <c r="A26" t="s">
        <v>191</v>
      </c>
      <c r="C26" s="143">
        <f>C8-'Table 3.19-CFS UAA'!B47</f>
        <v>0</v>
      </c>
      <c r="G26" s="143">
        <f>G12-SUM('Table 3.30-UAA MP Cost'!B11:B12)</f>
        <v>0</v>
      </c>
      <c r="H26" s="143">
        <v>0</v>
      </c>
      <c r="I26" s="27"/>
    </row>
    <row r="27" spans="3:8" ht="12.75" hidden="1">
      <c r="C27" s="143">
        <f>C9-'Table 3.19-CFS UAA'!B46+'Table 3.19-CFS UAA'!B47</f>
        <v>0</v>
      </c>
      <c r="G27" s="143">
        <f>G17-SUM('Table 3.30-UAA MP Cost'!B27:B28)</f>
        <v>0</v>
      </c>
      <c r="H27" s="143">
        <v>0</v>
      </c>
    </row>
    <row r="28" spans="3:8" ht="12.75" hidden="1">
      <c r="C28" s="143">
        <f>C15-'Table 3.19-CFS UAA'!B60</f>
        <v>0</v>
      </c>
      <c r="G28" s="143">
        <v>0</v>
      </c>
      <c r="H28" s="143">
        <v>0</v>
      </c>
    </row>
    <row r="29" spans="3:8" ht="12.75" hidden="1">
      <c r="C29" s="143">
        <f>C16-'Table 3.18-Nixie UAA'!D33</f>
        <v>0</v>
      </c>
      <c r="G29" s="6"/>
      <c r="H29" s="143">
        <v>0</v>
      </c>
    </row>
    <row r="30" spans="2:8" ht="12.75" hidden="1">
      <c r="B30" s="143">
        <f>B24-'Table 3.23-CIOSS Summary'!C14</f>
        <v>0</v>
      </c>
      <c r="C30" s="143">
        <f>C21-'Table 3.18-Nixie UAA'!D37</f>
        <v>0</v>
      </c>
      <c r="D30" s="143">
        <f>D24-'Table 3.28-REC Volume'!G40</f>
        <v>0</v>
      </c>
      <c r="E30" s="143">
        <f>E24-'Table 3.28-REC Volume'!H40</f>
        <v>0</v>
      </c>
      <c r="G30" s="143">
        <v>0</v>
      </c>
      <c r="H30" s="143">
        <v>0</v>
      </c>
    </row>
    <row r="31" spans="1:4" ht="12.75">
      <c r="A31" s="283"/>
      <c r="B31" s="283"/>
      <c r="C31" s="283"/>
      <c r="D31" s="283"/>
    </row>
    <row r="32" ht="12.75">
      <c r="A32" s="27" t="s">
        <v>235</v>
      </c>
    </row>
    <row r="33" ht="12.75">
      <c r="A33" s="12" t="s">
        <v>669</v>
      </c>
    </row>
    <row r="34" ht="12.75">
      <c r="A34" t="s">
        <v>670</v>
      </c>
    </row>
  </sheetData>
  <sheetProtection/>
  <printOptions horizontalCentered="1"/>
  <pageMargins left="0.75" right="0.75" top="1" bottom="1" header="0.5" footer="0.5"/>
  <pageSetup fitToHeight="1" fitToWidth="1" horizontalDpi="600" verticalDpi="600" orientation="landscape" scale="88"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sheetPr codeName="Sheet8">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
      <c r="A1" s="158" t="s">
        <v>766</v>
      </c>
      <c r="B1" s="320"/>
      <c r="C1" s="320"/>
      <c r="D1" s="320"/>
      <c r="E1" s="320"/>
      <c r="F1" s="320"/>
    </row>
    <row r="2" spans="1:6" ht="1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0.5187601823759181</v>
      </c>
      <c r="C9" s="315" t="s">
        <v>236</v>
      </c>
      <c r="D9" s="558">
        <f>('Table 3.42-Vol Flows'!C8+'Table 3.42-Vol Flows'!H8)/('Table 3.42-Vol Flows'!M8)</f>
        <v>0.19900076132814787</v>
      </c>
      <c r="E9" s="315" t="s">
        <v>239</v>
      </c>
      <c r="F9" s="153">
        <f>B9*D9</f>
        <v>0.10323367123953654</v>
      </c>
      <c r="H9" s="153">
        <f>'Table 3.19-CFS UAA'!K44</f>
        <v>0.5187601823759183</v>
      </c>
      <c r="I9" s="315" t="s">
        <v>236</v>
      </c>
      <c r="J9" s="558">
        <f>'Table 3.42-Vol Flows'!C8/'Table 3.42-Vol Flows'!K8</f>
        <v>0.015</v>
      </c>
      <c r="K9" s="315" t="s">
        <v>239</v>
      </c>
      <c r="L9" s="153">
        <f>H9*J9</f>
        <v>0.007781402735638774</v>
      </c>
      <c r="N9" s="153">
        <f>'Table 3.19-CFS UAA'!K13</f>
        <v>0.5187601823759181</v>
      </c>
      <c r="O9" s="315" t="s">
        <v>236</v>
      </c>
      <c r="P9" s="558">
        <f>'Table 3.42-Vol Flows'!H8/'Table 3.42-Vol Flows'!L8</f>
        <v>1</v>
      </c>
      <c r="Q9" s="315" t="s">
        <v>239</v>
      </c>
      <c r="R9" s="153">
        <f>N9*P9</f>
        <v>0.5187601823759181</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4" t="s">
        <v>468</v>
      </c>
      <c r="B12" s="153">
        <f>H12</f>
        <v>0</v>
      </c>
      <c r="C12" s="315"/>
      <c r="D12" s="558">
        <f>'Table 3.42-Vol Flows'!D8/'Table 3.42-Vol Flows'!M8</f>
        <v>0.3067827084113194</v>
      </c>
      <c r="E12" s="315" t="s">
        <v>239</v>
      </c>
      <c r="F12" s="153">
        <f>B12*D12</f>
        <v>0</v>
      </c>
      <c r="H12" s="153">
        <v>0</v>
      </c>
      <c r="I12" s="315"/>
      <c r="J12" s="558">
        <f>'Table 3.42-Vol Flows'!D8/'Table 3.42-Vol Flows'!K8</f>
        <v>0.377255</v>
      </c>
      <c r="K12" s="315" t="s">
        <v>239</v>
      </c>
      <c r="L12" s="153">
        <f>H12*J12</f>
        <v>0</v>
      </c>
      <c r="N12" s="153">
        <v>0</v>
      </c>
      <c r="O12" s="315"/>
      <c r="P12" s="558">
        <v>0</v>
      </c>
      <c r="Q12" s="315"/>
      <c r="R12" s="153">
        <f>N12*P12</f>
        <v>0</v>
      </c>
    </row>
    <row r="13" spans="1:18" ht="12.75">
      <c r="A13" s="474" t="s">
        <v>469</v>
      </c>
      <c r="B13" s="153">
        <f>H13</f>
        <v>0.07206599243664226</v>
      </c>
      <c r="C13" s="315" t="s">
        <v>238</v>
      </c>
      <c r="D13" s="558">
        <f>'Table 3.42-Vol Flows'!E8/'Table 3.42-Vol Flows'!M8</f>
        <v>0.49421653026053275</v>
      </c>
      <c r="E13" s="315" t="s">
        <v>239</v>
      </c>
      <c r="F13" s="153">
        <f>B13*D13</f>
        <v>0.03561620473181913</v>
      </c>
      <c r="H13" s="153">
        <f>'Table 3.27-REC Detail ACS'!L49</f>
        <v>0.07206599243664226</v>
      </c>
      <c r="I13" s="315" t="s">
        <v>238</v>
      </c>
      <c r="J13" s="558">
        <f>'Table 3.42-Vol Flows'!E8/'Table 3.42-Vol Flows'!K8</f>
        <v>0.6077449999999999</v>
      </c>
      <c r="K13" s="315" t="s">
        <v>239</v>
      </c>
      <c r="L13" s="153">
        <f>H13*J13</f>
        <v>0.04379774657340714</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0.13884987597135567</v>
      </c>
      <c r="H15" s="153"/>
      <c r="I15" s="153"/>
      <c r="J15" s="558"/>
      <c r="K15" s="272"/>
      <c r="L15" s="153">
        <f>SUM(L8:L13)</f>
        <v>0.05157914930904591</v>
      </c>
      <c r="N15" s="153"/>
      <c r="O15" s="153"/>
      <c r="P15" s="558"/>
      <c r="Q15" s="272"/>
      <c r="R15" s="153">
        <f>SUM(R8:R13)</f>
        <v>0.5187601823759181</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0.36066314073963357</v>
      </c>
      <c r="C17" s="153"/>
      <c r="D17" s="558">
        <f>'Table 3.42-Vol Flows'!H15/'Table 3.42-Vol Flows'!M15</f>
        <v>0.09441582664886418</v>
      </c>
      <c r="E17" s="272"/>
      <c r="F17" s="153">
        <f>B17*D17</f>
        <v>0.034052308574708146</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0.36066314073963357</v>
      </c>
      <c r="O17" s="315" t="s">
        <v>242</v>
      </c>
      <c r="P17" s="558">
        <v>1</v>
      </c>
      <c r="Q17" s="272"/>
      <c r="R17" s="153">
        <f>N17*P17</f>
        <v>0.36066314073963357</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0.4163956002356223</v>
      </c>
      <c r="C21" s="315" t="s">
        <v>236</v>
      </c>
      <c r="D21" s="558">
        <f>('Table 3.42-Vol Flows'!C15+'Table 3.42-Vol Flows'!H15)/('Table 3.42-Vol Flows'!M15)</f>
        <v>0.10799958924913122</v>
      </c>
      <c r="E21" s="315" t="s">
        <v>239</v>
      </c>
      <c r="F21" s="153">
        <f>B21*D21</f>
        <v>0.04497055379059266</v>
      </c>
      <c r="H21" s="153">
        <f>'Table 3.19-CFS UAA'!K57</f>
        <v>0.41639560023562217</v>
      </c>
      <c r="I21" s="315" t="s">
        <v>236</v>
      </c>
      <c r="J21" s="558">
        <f>'Table 3.42-Vol Flows'!C15/'Table 3.42-Vol Flows'!K15</f>
        <v>0.015</v>
      </c>
      <c r="K21" s="315" t="s">
        <v>239</v>
      </c>
      <c r="L21" s="153">
        <f>H21*J21</f>
        <v>0.006245934003534332</v>
      </c>
      <c r="N21" s="153">
        <f>'Table 3.19-CFS UAA'!K26</f>
        <v>0.4163956002356222</v>
      </c>
      <c r="O21" s="315" t="s">
        <v>236</v>
      </c>
      <c r="P21" s="558">
        <f>'Table 3.42-Vol Flows'!H15/'Table 3.42-Vol Flows'!L15</f>
        <v>1</v>
      </c>
      <c r="Q21" s="315" t="s">
        <v>239</v>
      </c>
      <c r="R21" s="153">
        <f>N21*P21</f>
        <v>0.4163956002356222</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3.42-Vol Flows'!D15/'Table 3.42-Vol Flows'!M15</f>
        <v>0.3557958586372126</v>
      </c>
      <c r="E24" s="315" t="s">
        <v>239</v>
      </c>
      <c r="F24" s="153">
        <f>B24*D24</f>
        <v>0</v>
      </c>
      <c r="H24" s="153">
        <v>0</v>
      </c>
      <c r="I24" s="315"/>
      <c r="J24" s="558">
        <f>'Table 3.42-Vol Flows'!D15/'Table 3.42-Vol Flows'!K15</f>
        <v>0.3928909858490366</v>
      </c>
      <c r="K24" s="315" t="s">
        <v>239</v>
      </c>
      <c r="L24" s="153">
        <f>H24*J24</f>
        <v>0</v>
      </c>
      <c r="N24" s="153">
        <v>0</v>
      </c>
      <c r="O24" s="315"/>
      <c r="P24" s="558">
        <v>0</v>
      </c>
      <c r="Q24" s="315"/>
      <c r="R24" s="153">
        <f>N24*P24</f>
        <v>0</v>
      </c>
    </row>
    <row r="25" spans="1:18" ht="12.75">
      <c r="A25" s="474" t="s">
        <v>469</v>
      </c>
      <c r="B25" s="153">
        <f>H25</f>
        <v>0.07206599243664226</v>
      </c>
      <c r="C25" s="315" t="s">
        <v>238</v>
      </c>
      <c r="D25" s="558">
        <f>'Table 3.42-Vol Flows'!E15/'Table 3.42-Vol Flows'!M15</f>
        <v>0.5362045521136563</v>
      </c>
      <c r="E25" s="315" t="s">
        <v>239</v>
      </c>
      <c r="F25" s="153">
        <f>B25*D25</f>
        <v>0.0386421131971159</v>
      </c>
      <c r="H25" s="153">
        <f>'Table 3.27-REC Detail ACS'!L50</f>
        <v>0.07206599243664226</v>
      </c>
      <c r="I25" s="315" t="s">
        <v>238</v>
      </c>
      <c r="J25" s="558">
        <f>'Table 3.42-Vol Flows'!E15/'Table 3.42-Vol Flows'!K15</f>
        <v>0.5921090141509635</v>
      </c>
      <c r="K25" s="315" t="s">
        <v>239</v>
      </c>
      <c r="L25" s="153">
        <f>H25*J25</f>
        <v>0.04267092373547104</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0.1176649755624167</v>
      </c>
      <c r="H27" s="266"/>
      <c r="I27" s="266"/>
      <c r="J27" s="559"/>
      <c r="K27" s="274"/>
      <c r="L27" s="266">
        <f>SUM(L17:L25)</f>
        <v>0.04891685773900537</v>
      </c>
      <c r="N27" s="266"/>
      <c r="O27" s="266"/>
      <c r="P27" s="559"/>
      <c r="Q27" s="274"/>
      <c r="R27" s="266">
        <f>SUM(R17:R25)</f>
        <v>0.7770587409752558</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0.13884987597135567</v>
      </c>
      <c r="C31" s="153"/>
      <c r="D31" s="558">
        <f>'Table 3.42-Vol Flows'!M8/SUM('Table 3.42-Vol Flows'!M8,'Table 3.42-Vol Flows'!M15)</f>
        <v>0.3969627350101695</v>
      </c>
      <c r="E31" s="315" t="s">
        <v>239</v>
      </c>
      <c r="F31" s="153">
        <f>B31*D31</f>
        <v>0.05511822652141216</v>
      </c>
      <c r="H31" s="271">
        <f>L15</f>
        <v>0.05157914930904591</v>
      </c>
      <c r="I31" s="153"/>
      <c r="J31" s="558">
        <f>'Table 3.42-Vol Flows'!K8/SUM('Table 3.42-Vol Flows'!K8,'Table 3.42-Vol Flows'!K15)</f>
        <v>0.37151026956754546</v>
      </c>
      <c r="K31" s="315" t="s">
        <v>239</v>
      </c>
      <c r="L31" s="153">
        <f>H31*J31</f>
        <v>0.019162183663868324</v>
      </c>
      <c r="N31" s="271">
        <f>R15</f>
        <v>0.5187601823759181</v>
      </c>
      <c r="O31" s="153"/>
      <c r="P31" s="558">
        <f>'Table 3.42-Vol Flows'!L8/SUM('Table 3.42-Vol Flows'!L8,'Table 3.42-Vol Flows'!L15)</f>
        <v>0.5656704862120373</v>
      </c>
      <c r="Q31" s="315" t="s">
        <v>239</v>
      </c>
      <c r="R31" s="153">
        <f>N31*P31</f>
        <v>0.29344732459203077</v>
      </c>
    </row>
    <row r="32" spans="1:18" ht="12.75">
      <c r="A32" s="321" t="s">
        <v>108</v>
      </c>
      <c r="B32" s="153">
        <f>F27</f>
        <v>0.1176649755624167</v>
      </c>
      <c r="C32" s="153"/>
      <c r="D32" s="558">
        <f>'Table 3.42-Vol Flows'!M15/SUM('Table 3.42-Vol Flows'!M8,'Table 3.42-Vol Flows'!M15)</f>
        <v>0.6030372649898305</v>
      </c>
      <c r="E32" s="315" t="s">
        <v>239</v>
      </c>
      <c r="F32" s="153">
        <f>B32*D32</f>
        <v>0.070956365048255</v>
      </c>
      <c r="H32" s="153">
        <f>L27</f>
        <v>0.04891685773900537</v>
      </c>
      <c r="I32" s="153"/>
      <c r="J32" s="558">
        <f>'Table 3.42-Vol Flows'!K15/SUM('Table 3.42-Vol Flows'!K8,'Table 3.42-Vol Flows'!K15)</f>
        <v>0.6284897304324547</v>
      </c>
      <c r="K32" s="315" t="s">
        <v>239</v>
      </c>
      <c r="L32" s="153">
        <f>H32*J32</f>
        <v>0.030743742733990224</v>
      </c>
      <c r="N32" s="153">
        <f>R27</f>
        <v>0.7770587409752558</v>
      </c>
      <c r="O32" s="153"/>
      <c r="P32" s="558">
        <f>'Table 3.42-Vol Flows'!L15/SUM('Table 3.42-Vol Flows'!L8,'Table 3.42-Vol Flows'!L15)</f>
        <v>0.4343295137879627</v>
      </c>
      <c r="Q32" s="315" t="s">
        <v>239</v>
      </c>
      <c r="R32" s="153">
        <f>N32*P32</f>
        <v>0.3374995451524693</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1</v>
      </c>
      <c r="E34" s="281"/>
      <c r="F34" s="268">
        <f>F31+F32</f>
        <v>0.12607459156966716</v>
      </c>
      <c r="G34" s="120"/>
      <c r="H34" s="266"/>
      <c r="I34" s="266"/>
      <c r="J34" s="559">
        <f>J31+J32</f>
        <v>1.0000000000000002</v>
      </c>
      <c r="K34" s="281"/>
      <c r="L34" s="268">
        <f>L31+L32</f>
        <v>0.04990592639785855</v>
      </c>
      <c r="N34" s="266"/>
      <c r="O34" s="266"/>
      <c r="P34" s="559">
        <f>P31+P32</f>
        <v>1</v>
      </c>
      <c r="Q34" s="281"/>
      <c r="R34" s="268">
        <f>R31+R32</f>
        <v>0.6309468697445001</v>
      </c>
    </row>
    <row r="35" ht="12.75" hidden="1"/>
    <row r="36" spans="1:16" ht="12.75" hidden="1">
      <c r="A36" s="14" t="s">
        <v>188</v>
      </c>
      <c r="B36" s="143">
        <f>B9-H9</f>
        <v>0</v>
      </c>
      <c r="D36" s="143">
        <f>SUM(D8:D13)-1</f>
        <v>0</v>
      </c>
      <c r="F36" s="143">
        <f>F15-'Table 3.1-UAA Summary'!M50</f>
        <v>0</v>
      </c>
      <c r="H36" s="143">
        <f>H9-N9</f>
        <v>0</v>
      </c>
      <c r="J36" s="143">
        <f>SUM(J8:J13)-1</f>
        <v>0</v>
      </c>
      <c r="P36" s="143">
        <f>SUM(P8:P13)-1</f>
        <v>0</v>
      </c>
    </row>
    <row r="37" spans="2:16" ht="12.75" hidden="1">
      <c r="B37" s="143">
        <f>B21-H21</f>
        <v>0</v>
      </c>
      <c r="D37" s="143">
        <f>SUM(D20:D25)-1</f>
        <v>0</v>
      </c>
      <c r="E37" s="14"/>
      <c r="F37" s="143">
        <f>F27-SUM('Table 3.1-UAA Summary'!K51:K52)/SUM('Table 3.1-UAA Summary'!L51:L51)</f>
        <v>0</v>
      </c>
      <c r="H37" s="143">
        <f>H21-N21</f>
        <v>0</v>
      </c>
      <c r="J37" s="143">
        <f>SUM(J20:J25)-1</f>
        <v>0</v>
      </c>
      <c r="P37" s="143">
        <f>SUM(P20:P25)-1</f>
        <v>0</v>
      </c>
    </row>
    <row r="38" spans="2:18" ht="12.75" hidden="1">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4" ht="12.75">
      <c r="A39" s="283"/>
      <c r="B39" s="283"/>
      <c r="C39" s="283"/>
      <c r="D39" s="283"/>
    </row>
    <row r="40" spans="1:3" ht="12.75">
      <c r="A40" t="s">
        <v>235</v>
      </c>
      <c r="B40" s="234"/>
      <c r="C40" s="234"/>
    </row>
    <row r="41" ht="12.75">
      <c r="A41" s="12" t="s">
        <v>92</v>
      </c>
    </row>
    <row r="42" ht="12.75">
      <c r="A42" s="12" t="s">
        <v>36</v>
      </c>
    </row>
    <row r="43" ht="12.75">
      <c r="A43" s="12" t="s">
        <v>708</v>
      </c>
    </row>
    <row r="44" ht="12.75">
      <c r="A44" s="12" t="s">
        <v>474</v>
      </c>
    </row>
    <row r="45" ht="12.75">
      <c r="A45" s="12" t="s">
        <v>671</v>
      </c>
    </row>
    <row r="46" ht="12.75">
      <c r="A46" s="12" t="s">
        <v>638</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sheetPr codeName="Sheet32">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
      <c r="A1" s="158" t="s">
        <v>773</v>
      </c>
      <c r="B1" s="320"/>
      <c r="C1" s="320"/>
      <c r="D1" s="320"/>
      <c r="E1" s="320"/>
      <c r="F1" s="320"/>
    </row>
    <row r="2" spans="1:6" ht="1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0.5187601823759181</v>
      </c>
      <c r="C9" s="315" t="s">
        <v>236</v>
      </c>
      <c r="D9" s="558">
        <f>('Table 3.42-Vol Flows'!C8+'Table 3.42-Vol Flows'!H8)/('Table 3.42-Vol Flows'!M8)</f>
        <v>0.19900076132814787</v>
      </c>
      <c r="E9" s="315" t="s">
        <v>239</v>
      </c>
      <c r="F9" s="153">
        <f>B9*D9</f>
        <v>0.10323367123953654</v>
      </c>
      <c r="H9" s="153">
        <f>'Table 3.19-CFS UAA'!K44</f>
        <v>0.5187601823759183</v>
      </c>
      <c r="I9" s="315" t="s">
        <v>236</v>
      </c>
      <c r="J9" s="558">
        <f>'Table 3.42-Vol Flows'!C8/'Table 3.42-Vol Flows'!K8</f>
        <v>0.015</v>
      </c>
      <c r="K9" s="315" t="s">
        <v>239</v>
      </c>
      <c r="L9" s="153">
        <f>H9*J9</f>
        <v>0.007781402735638774</v>
      </c>
      <c r="N9" s="153">
        <f>'Table 3.19-CFS UAA'!K13</f>
        <v>0.5187601823759181</v>
      </c>
      <c r="O9" s="315" t="s">
        <v>236</v>
      </c>
      <c r="P9" s="558">
        <f>'Table 3.42-Vol Flows'!H8/'Table 3.42-Vol Flows'!L8</f>
        <v>1</v>
      </c>
      <c r="Q9" s="315" t="s">
        <v>239</v>
      </c>
      <c r="R9" s="153">
        <f>N9*P9</f>
        <v>0.5187601823759181</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9" t="s">
        <v>475</v>
      </c>
      <c r="B12" s="153">
        <f>H12</f>
        <v>0</v>
      </c>
      <c r="C12" s="315"/>
      <c r="D12" s="558">
        <f>'Table 3.43-Elec Notice'!D12+'Table 3.43-Elec Notice'!D13</f>
        <v>0.8009992386718521</v>
      </c>
      <c r="E12" s="315" t="s">
        <v>239</v>
      </c>
      <c r="F12" s="153">
        <f>B12*D12</f>
        <v>0</v>
      </c>
      <c r="H12" s="153">
        <v>0</v>
      </c>
      <c r="I12" s="315"/>
      <c r="J12" s="558">
        <f>'Table 3.43-Elec Notice'!J12+'Table 3.43-Elec Notice'!J13</f>
        <v>0.9849999999999999</v>
      </c>
      <c r="K12" s="315" t="s">
        <v>239</v>
      </c>
      <c r="L12" s="153">
        <f>H12*J12</f>
        <v>0</v>
      </c>
      <c r="N12" s="153">
        <v>0</v>
      </c>
      <c r="O12" s="315"/>
      <c r="P12" s="558">
        <v>0</v>
      </c>
      <c r="Q12" s="315"/>
      <c r="R12" s="153">
        <f>N12*P12</f>
        <v>0</v>
      </c>
    </row>
    <row r="13" spans="1:18" ht="12.75">
      <c r="A13" s="474" t="s">
        <v>469</v>
      </c>
      <c r="B13" s="153">
        <f>H13</f>
        <v>0.07206599243664226</v>
      </c>
      <c r="C13" s="315" t="s">
        <v>238</v>
      </c>
      <c r="D13" s="563">
        <v>0</v>
      </c>
      <c r="E13" s="315"/>
      <c r="F13" s="153">
        <f>B13*D13</f>
        <v>0</v>
      </c>
      <c r="H13" s="153">
        <f>'Table 3.27-REC Detail ACS'!L49</f>
        <v>0.07206599243664226</v>
      </c>
      <c r="I13" s="315" t="s">
        <v>238</v>
      </c>
      <c r="J13" s="563">
        <v>0</v>
      </c>
      <c r="K13" s="315"/>
      <c r="L13" s="153">
        <f>H13*J13</f>
        <v>0</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0.10323367123953654</v>
      </c>
      <c r="H15" s="153"/>
      <c r="I15" s="153"/>
      <c r="J15" s="558"/>
      <c r="K15" s="272"/>
      <c r="L15" s="153">
        <f>SUM(L8:L13)</f>
        <v>0.007781402735638774</v>
      </c>
      <c r="N15" s="153"/>
      <c r="O15" s="153"/>
      <c r="P15" s="558"/>
      <c r="Q15" s="272"/>
      <c r="R15" s="153">
        <f>SUM(R8:R13)</f>
        <v>0.5187601823759181</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0.36066314073963357</v>
      </c>
      <c r="C17" s="153"/>
      <c r="D17" s="558">
        <f>'Table 3.42-Vol Flows'!H15/'Table 3.42-Vol Flows'!M15</f>
        <v>0.09441582664886418</v>
      </c>
      <c r="E17" s="272"/>
      <c r="F17" s="153">
        <f>B17*D17</f>
        <v>0.034052308574708146</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0.36066314073963357</v>
      </c>
      <c r="O17" s="315" t="s">
        <v>242</v>
      </c>
      <c r="P17" s="558">
        <v>1</v>
      </c>
      <c r="Q17" s="272"/>
      <c r="R17" s="153">
        <f>N17*P17</f>
        <v>0.36066314073963357</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0.4163956002356223</v>
      </c>
      <c r="C21" s="315" t="s">
        <v>236</v>
      </c>
      <c r="D21" s="558">
        <f>('Table 3.42-Vol Flows'!C15+'Table 3.42-Vol Flows'!H15)/('Table 3.42-Vol Flows'!M15)</f>
        <v>0.10799958924913122</v>
      </c>
      <c r="E21" s="315" t="s">
        <v>239</v>
      </c>
      <c r="F21" s="153">
        <f>B21*D21</f>
        <v>0.04497055379059266</v>
      </c>
      <c r="H21" s="153">
        <f>'Table 3.19-CFS UAA'!K57</f>
        <v>0.41639560023562217</v>
      </c>
      <c r="I21" s="315" t="s">
        <v>236</v>
      </c>
      <c r="J21" s="558">
        <f>'Table 3.42-Vol Flows'!C15/'Table 3.42-Vol Flows'!K15</f>
        <v>0.015</v>
      </c>
      <c r="K21" s="315" t="s">
        <v>239</v>
      </c>
      <c r="L21" s="153">
        <f>H21*J21</f>
        <v>0.006245934003534332</v>
      </c>
      <c r="N21" s="153">
        <f>'Table 3.19-CFS UAA'!K26</f>
        <v>0.4163956002356222</v>
      </c>
      <c r="O21" s="315" t="s">
        <v>236</v>
      </c>
      <c r="P21" s="558">
        <f>'Table 3.42-Vol Flows'!H15/'Table 3.42-Vol Flows'!L15</f>
        <v>1</v>
      </c>
      <c r="Q21" s="315" t="s">
        <v>239</v>
      </c>
      <c r="R21" s="153">
        <f>N21*P21</f>
        <v>0.4163956002356222</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3.43-Elec Notice'!D24+'Table 3.43-Elec Notice'!D25</f>
        <v>0.8920004107508688</v>
      </c>
      <c r="E24" s="315" t="s">
        <v>239</v>
      </c>
      <c r="F24" s="153">
        <f>B24*D24</f>
        <v>0</v>
      </c>
      <c r="H24" s="153">
        <v>0</v>
      </c>
      <c r="I24" s="315"/>
      <c r="J24" s="558">
        <f>'Table 3.43-Elec Notice'!J24+'Table 3.43-Elec Notice'!J25</f>
        <v>0.9850000000000001</v>
      </c>
      <c r="K24" s="315" t="s">
        <v>239</v>
      </c>
      <c r="L24" s="153">
        <f>H24*J24</f>
        <v>0</v>
      </c>
      <c r="N24" s="153">
        <v>0</v>
      </c>
      <c r="O24" s="315"/>
      <c r="P24" s="558">
        <v>0</v>
      </c>
      <c r="Q24" s="315"/>
      <c r="R24" s="153">
        <f>N24*P24</f>
        <v>0</v>
      </c>
    </row>
    <row r="25" spans="1:18" ht="12.75">
      <c r="A25" s="474" t="s">
        <v>469</v>
      </c>
      <c r="B25" s="153">
        <f>H25</f>
        <v>0.07206599243664226</v>
      </c>
      <c r="C25" s="315" t="s">
        <v>238</v>
      </c>
      <c r="D25" s="563">
        <v>0</v>
      </c>
      <c r="E25" s="315"/>
      <c r="F25" s="153">
        <f>B25*D25</f>
        <v>0</v>
      </c>
      <c r="H25" s="153">
        <f>'Table 3.27-REC Detail ACS'!L50</f>
        <v>0.07206599243664226</v>
      </c>
      <c r="I25" s="315" t="s">
        <v>238</v>
      </c>
      <c r="J25" s="563">
        <v>0</v>
      </c>
      <c r="K25" s="315"/>
      <c r="L25" s="153">
        <f>H25*J25</f>
        <v>0</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0.0790228623653008</v>
      </c>
      <c r="H27" s="266"/>
      <c r="I27" s="266"/>
      <c r="J27" s="559"/>
      <c r="K27" s="274"/>
      <c r="L27" s="266">
        <f>SUM(L17:L25)</f>
        <v>0.006245934003534332</v>
      </c>
      <c r="N27" s="266"/>
      <c r="O27" s="266"/>
      <c r="P27" s="559"/>
      <c r="Q27" s="274"/>
      <c r="R27" s="266">
        <f>SUM(R17:R25)</f>
        <v>0.7770587409752558</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0.10323367123953654</v>
      </c>
      <c r="C31" s="153"/>
      <c r="D31" s="558">
        <f>'Table 3.42-Vol Flows'!M8/SUM('Table 3.42-Vol Flows'!M8,'Table 3.42-Vol Flows'!M15)</f>
        <v>0.3969627350101695</v>
      </c>
      <c r="E31" s="315" t="s">
        <v>239</v>
      </c>
      <c r="F31" s="153">
        <f>B31*D31</f>
        <v>0.0409799204803871</v>
      </c>
      <c r="H31" s="271">
        <f>L15</f>
        <v>0.007781402735638774</v>
      </c>
      <c r="I31" s="153"/>
      <c r="J31" s="558">
        <f>'Table 3.42-Vol Flows'!K8/SUM('Table 3.42-Vol Flows'!K8,'Table 3.42-Vol Flows'!K15)</f>
        <v>0.37151026956754546</v>
      </c>
      <c r="K31" s="315" t="s">
        <v>239</v>
      </c>
      <c r="L31" s="153">
        <f>H31*J31</f>
        <v>0.0028908710279307963</v>
      </c>
      <c r="N31" s="271">
        <f>R15</f>
        <v>0.5187601823759181</v>
      </c>
      <c r="O31" s="153"/>
      <c r="P31" s="558">
        <f>'Table 3.42-Vol Flows'!L8/SUM('Table 3.42-Vol Flows'!L8,'Table 3.42-Vol Flows'!L15)</f>
        <v>0.5656704862120373</v>
      </c>
      <c r="Q31" s="315" t="s">
        <v>239</v>
      </c>
      <c r="R31" s="153">
        <f>N31*P31</f>
        <v>0.29344732459203077</v>
      </c>
    </row>
    <row r="32" spans="1:18" ht="12.75">
      <c r="A32" s="321" t="s">
        <v>108</v>
      </c>
      <c r="B32" s="153">
        <f>F27</f>
        <v>0.0790228623653008</v>
      </c>
      <c r="C32" s="153"/>
      <c r="D32" s="558">
        <f>'Table 3.42-Vol Flows'!M15/SUM('Table 3.42-Vol Flows'!M8,'Table 3.42-Vol Flows'!M15)</f>
        <v>0.6030372649898305</v>
      </c>
      <c r="E32" s="315" t="s">
        <v>239</v>
      </c>
      <c r="F32" s="153">
        <f>B32*D32</f>
        <v>0.0476537307924388</v>
      </c>
      <c r="H32" s="153">
        <f>L27</f>
        <v>0.006245934003534332</v>
      </c>
      <c r="I32" s="153"/>
      <c r="J32" s="558">
        <f>'Table 3.42-Vol Flows'!K15/SUM('Table 3.42-Vol Flows'!K8,'Table 3.42-Vol Flows'!K15)</f>
        <v>0.6284897304324547</v>
      </c>
      <c r="K32" s="315" t="s">
        <v>239</v>
      </c>
      <c r="L32" s="153">
        <f>H32*J32</f>
        <v>0.003925505378180195</v>
      </c>
      <c r="N32" s="153">
        <f>R27</f>
        <v>0.7770587409752558</v>
      </c>
      <c r="O32" s="153"/>
      <c r="P32" s="558">
        <f>'Table 3.42-Vol Flows'!L15/SUM('Table 3.42-Vol Flows'!L8,'Table 3.42-Vol Flows'!L15)</f>
        <v>0.4343295137879627</v>
      </c>
      <c r="Q32" s="315" t="s">
        <v>239</v>
      </c>
      <c r="R32" s="153">
        <f>N32*P32</f>
        <v>0.3374995451524693</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1</v>
      </c>
      <c r="E34" s="281"/>
      <c r="F34" s="268">
        <f>F31+F32</f>
        <v>0.08863365127282591</v>
      </c>
      <c r="G34" s="120"/>
      <c r="H34" s="266"/>
      <c r="I34" s="266"/>
      <c r="J34" s="559">
        <f>J31+J32</f>
        <v>1.0000000000000002</v>
      </c>
      <c r="K34" s="281"/>
      <c r="L34" s="268">
        <f>L31+L32</f>
        <v>0.006816376406110991</v>
      </c>
      <c r="N34" s="266"/>
      <c r="O34" s="266"/>
      <c r="P34" s="559">
        <f>P31+P32</f>
        <v>1</v>
      </c>
      <c r="Q34" s="281"/>
      <c r="R34" s="268">
        <f>R31+R32</f>
        <v>0.6309468697445001</v>
      </c>
    </row>
    <row r="35" ht="12.75" hidden="1"/>
    <row r="36" spans="1:18" ht="12.75" hidden="1">
      <c r="A36" s="14" t="s">
        <v>188</v>
      </c>
      <c r="B36" s="143">
        <f>B9-H9</f>
        <v>0</v>
      </c>
      <c r="D36" s="143">
        <f>SUM(D8:D13)-1</f>
        <v>0</v>
      </c>
      <c r="F36" s="240"/>
      <c r="H36" s="143">
        <f>H9-N9</f>
        <v>0</v>
      </c>
      <c r="J36" s="143">
        <f>SUM(J8:J13)-1</f>
        <v>0</v>
      </c>
      <c r="P36" s="143">
        <f>SUM(P8:P13)-1</f>
        <v>0</v>
      </c>
      <c r="Q36" s="27"/>
      <c r="R36" s="27"/>
    </row>
    <row r="37" spans="2:18" ht="12.75" hidden="1">
      <c r="B37" s="143">
        <f>B21-H21</f>
        <v>0</v>
      </c>
      <c r="D37" s="143">
        <f>SUM(D20:D25)-1</f>
        <v>0</v>
      </c>
      <c r="E37" s="14"/>
      <c r="F37" s="240"/>
      <c r="H37" s="143">
        <f>H21-N21</f>
        <v>0</v>
      </c>
      <c r="J37" s="143">
        <f>SUM(J20:J25)-1</f>
        <v>0</v>
      </c>
      <c r="P37" s="143">
        <f>SUM(P20:P25)-1</f>
        <v>0</v>
      </c>
      <c r="Q37" s="27"/>
      <c r="R37" s="27"/>
    </row>
    <row r="38" spans="2:18" ht="12.75" hidden="1">
      <c r="B38" s="240"/>
      <c r="C38" s="27"/>
      <c r="D38" s="240"/>
      <c r="E38" s="547"/>
      <c r="F38" s="240"/>
      <c r="G38" s="27"/>
      <c r="H38" s="240"/>
      <c r="I38" s="27"/>
      <c r="J38" s="240"/>
      <c r="K38" s="27"/>
      <c r="L38" s="240"/>
      <c r="M38" s="27"/>
      <c r="N38" s="27"/>
      <c r="O38" s="27"/>
      <c r="P38" s="240"/>
      <c r="Q38" s="27"/>
      <c r="R38" s="240"/>
    </row>
    <row r="39" spans="1:4" ht="12.75">
      <c r="A39" s="283"/>
      <c r="B39" s="283"/>
      <c r="C39" s="283"/>
      <c r="D39" s="283"/>
    </row>
    <row r="40" spans="1:3" ht="12.75">
      <c r="A40" t="s">
        <v>235</v>
      </c>
      <c r="B40" s="234"/>
      <c r="C40" s="234"/>
    </row>
    <row r="41" spans="1:21" ht="12.75">
      <c r="A41" s="12" t="s">
        <v>92</v>
      </c>
      <c r="L41" s="27"/>
      <c r="M41" s="27"/>
      <c r="N41" s="27"/>
      <c r="O41" s="27"/>
      <c r="P41" s="27"/>
      <c r="Q41" s="27"/>
      <c r="R41" s="27"/>
      <c r="S41" s="27"/>
      <c r="T41" s="27"/>
      <c r="U41" s="27"/>
    </row>
    <row r="42" ht="12.75">
      <c r="A42" s="12" t="s">
        <v>36</v>
      </c>
    </row>
    <row r="43" ht="12.75">
      <c r="A43" s="12" t="s">
        <v>23</v>
      </c>
    </row>
    <row r="44" ht="12.75">
      <c r="A44" s="12" t="s">
        <v>474</v>
      </c>
    </row>
    <row r="45" ht="12.75">
      <c r="A45" s="12" t="s">
        <v>671</v>
      </c>
    </row>
    <row r="46" ht="12.75">
      <c r="A46" s="12" t="s">
        <v>9</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sheetPr codeName="Sheet41"/>
  <dimension ref="B3:K48"/>
  <sheetViews>
    <sheetView tabSelected="1" zoomScale="55" zoomScaleNormal="55" zoomScalePageLayoutView="0" workbookViewId="0" topLeftCell="A1">
      <selection activeCell="A1" sqref="A1"/>
    </sheetView>
  </sheetViews>
  <sheetFormatPr defaultColWidth="9.140625" defaultRowHeight="12.75"/>
  <cols>
    <col min="3" max="3" width="13.7109375" style="0" customWidth="1"/>
  </cols>
  <sheetData>
    <row r="3" spans="2:3" ht="12.75">
      <c r="B3" s="246" t="s">
        <v>233</v>
      </c>
      <c r="C3" s="247" t="s">
        <v>234</v>
      </c>
    </row>
    <row r="4" spans="2:4" ht="12.75">
      <c r="B4" s="248">
        <v>1</v>
      </c>
      <c r="C4" s="329">
        <f>SUM('Table 3.1-UAA Summary'!E63:N65,'Table 3.1-UAA Summary'!J69:J74,'Table 3.1-UAA Summary'!P69:P76)</f>
        <v>0</v>
      </c>
      <c r="D4" s="12"/>
    </row>
    <row r="5" spans="2:4" ht="12.75">
      <c r="B5" s="248">
        <f>B4+1</f>
        <v>2</v>
      </c>
      <c r="C5" s="329">
        <f>SUM('Table 3.2-Total Fwd Summary'!B37:B39,'Table 3.2-Total Fwd Summary'!K37:K44)</f>
        <v>0</v>
      </c>
      <c r="D5" s="12"/>
    </row>
    <row r="6" spans="2:11" ht="12.75">
      <c r="B6" s="248">
        <f aca="true" t="shared" si="0" ref="B6:B29">B5+1</f>
        <v>3</v>
      </c>
      <c r="C6" s="329">
        <f>SUM('Table 3.3-PARS Fwd Summary'!B32:B34,'Table 3.3-PARS Fwd Summary'!K32:K39)</f>
        <v>0</v>
      </c>
      <c r="D6" s="12"/>
      <c r="F6" s="27"/>
      <c r="G6" s="241"/>
      <c r="H6" s="27"/>
      <c r="I6" s="27"/>
      <c r="J6" s="27"/>
      <c r="K6" s="27"/>
    </row>
    <row r="7" spans="2:11" ht="12.75">
      <c r="B7" s="248">
        <f t="shared" si="0"/>
        <v>4</v>
      </c>
      <c r="C7" s="329">
        <f>SUM('Table 3.4-NonPARS Fwd Summary'!K27:K32)</f>
        <v>0</v>
      </c>
      <c r="D7" s="12"/>
      <c r="F7" s="27"/>
      <c r="G7" s="241"/>
      <c r="H7" s="27"/>
      <c r="I7" s="27"/>
      <c r="J7" s="27"/>
      <c r="K7" s="27"/>
    </row>
    <row r="8" spans="2:11" ht="12.75">
      <c r="B8" s="248">
        <f t="shared" si="0"/>
        <v>5</v>
      </c>
      <c r="C8" s="329">
        <f>SUM('Table 3.5-Total RTS Summary'!B41:B43,'Table 3.5-Total RTS Summary'!K41:K48)</f>
        <v>0</v>
      </c>
      <c r="D8" s="12"/>
      <c r="E8" s="27"/>
      <c r="F8" s="27"/>
      <c r="G8" s="241"/>
      <c r="H8" s="27"/>
      <c r="I8" s="27"/>
      <c r="J8" s="27"/>
      <c r="K8" s="27"/>
    </row>
    <row r="9" spans="2:6" ht="12.75">
      <c r="B9" s="248">
        <f t="shared" si="0"/>
        <v>6</v>
      </c>
      <c r="C9" s="329">
        <f>SUM('Table 3.6-PARS RTS Summary'!B71:B77,'Table 3.6-PARS RTS Summary'!K71:K78)</f>
        <v>0</v>
      </c>
      <c r="E9" s="27"/>
      <c r="F9" s="241"/>
    </row>
    <row r="10" spans="2:3" ht="12.75">
      <c r="B10" s="248">
        <f t="shared" si="0"/>
        <v>7</v>
      </c>
      <c r="C10" s="329">
        <f>SUM('Table 3.7-NonPARS RTS Summary'!K32:K37)</f>
        <v>0</v>
      </c>
    </row>
    <row r="11" spans="2:3" ht="12.75">
      <c r="B11" s="248">
        <f t="shared" si="0"/>
        <v>8</v>
      </c>
      <c r="C11" s="329">
        <f>SUM('Table 3.8-Total Wst Summary'!B21:B23,'Table 3.8-Total Wst Summary'!K21:K26)</f>
        <v>0</v>
      </c>
    </row>
    <row r="12" spans="2:3" ht="12.75">
      <c r="B12" s="248">
        <f t="shared" si="0"/>
        <v>9</v>
      </c>
      <c r="C12" s="329">
        <f>SUM('Table 3.9-PARS Wst Summary'!B50:B55,'Table 3.9-PARS Wst Summary'!K50:K55)</f>
        <v>0</v>
      </c>
    </row>
    <row r="13" spans="2:4" ht="12.75">
      <c r="B13" s="248">
        <f t="shared" si="0"/>
        <v>10</v>
      </c>
      <c r="C13" s="329">
        <f>SUM('Table 3.10-NonPARS Wst Summary'!K22:K25)</f>
        <v>0</v>
      </c>
      <c r="D13" s="12"/>
    </row>
    <row r="14" spans="2:4" ht="12.75">
      <c r="B14" s="248">
        <f t="shared" si="0"/>
        <v>11</v>
      </c>
      <c r="C14" s="329">
        <f>SUM('Table 3.11-Form3547 Costs'!H72:H78,'Table 3.11-Form3547 Costs'!P72:P78)</f>
        <v>-1.2732925824820995E-11</v>
      </c>
      <c r="D14" s="12"/>
    </row>
    <row r="15" spans="2:3" ht="12.75">
      <c r="B15" s="248">
        <f t="shared" si="0"/>
        <v>12</v>
      </c>
      <c r="C15" s="329">
        <f>SUM('Table 3.12-Form3579 Costs'!H14:H15,'Table 3.12-Form3579 Costs'!P14)</f>
        <v>0</v>
      </c>
    </row>
    <row r="16" spans="2:3" ht="12.75">
      <c r="B16" s="248">
        <f t="shared" si="0"/>
        <v>13</v>
      </c>
      <c r="C16" s="329">
        <f>SUM('Table 3.13-COA Costs'!D81:H83)</f>
        <v>0</v>
      </c>
    </row>
    <row r="17" spans="2:3" ht="12.75">
      <c r="B17" s="248">
        <f t="shared" si="0"/>
        <v>14</v>
      </c>
      <c r="C17" s="329">
        <f>SUM('Table 3.14-Route UAA'!N7:P39,'Table 3.14-Route UAA'!N48:Q111,'Table 3.14-Route UAA'!B114:J118)</f>
        <v>-3.4580338592604676E-10</v>
      </c>
    </row>
    <row r="18" spans="2:4" ht="12.75">
      <c r="B18" s="248">
        <f t="shared" si="0"/>
        <v>15</v>
      </c>
      <c r="C18" s="329">
        <f>SUM('Table 3.15-Route UAA NoPARS'!B114:J118)</f>
        <v>1.7053025658242404E-12</v>
      </c>
      <c r="D18" s="12"/>
    </row>
    <row r="19" spans="2:3" ht="12.75">
      <c r="B19" s="248">
        <f t="shared" si="0"/>
        <v>16</v>
      </c>
      <c r="C19" s="329">
        <f>SUM('Table 3.16-Route UAA PARS'!B114:J118)</f>
        <v>-3.794866643147543E-10</v>
      </c>
    </row>
    <row r="20" spans="2:3" ht="12.75">
      <c r="B20" s="248">
        <f t="shared" si="0"/>
        <v>17</v>
      </c>
      <c r="C20" s="329">
        <f>SUM('Table 3.17-No Record Mail'!B29:B31,'Table 3.17-No Record Mail'!J29:J31)</f>
        <v>0</v>
      </c>
    </row>
    <row r="21" spans="2:3" ht="12.75">
      <c r="B21" s="248">
        <f t="shared" si="0"/>
        <v>18</v>
      </c>
      <c r="C21" s="329">
        <f>SUM('Table 3.18-Nixie UAA'!B43:D48,'Table 3.18-Nixie UAA'!I43:J43)</f>
        <v>-1.9099388737231493E-10</v>
      </c>
    </row>
    <row r="22" spans="2:3" ht="12.7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3" ht="12.75">
      <c r="B23" s="248">
        <f t="shared" si="0"/>
        <v>20</v>
      </c>
      <c r="C23" s="329">
        <f>SUM('Table 3.20-CFS Non-CIOSS'!F90:F94,'Table 3.20-CFS Non-CIOSS'!B97:B101,'Table 3.20-CFS Non-CIOSS'!F103:F109,'Table 3.20-CFS Non-CIOSS'!B111:B114)</f>
        <v>0</v>
      </c>
    </row>
    <row r="24" spans="2:3" ht="12.75">
      <c r="B24" s="248">
        <f t="shared" si="0"/>
        <v>21</v>
      </c>
      <c r="C24" s="329">
        <f>SUM('Table 3.21-CFS CIOSS Rejs'!F90:F94,'Table 3.21-CFS CIOSS Rejs'!B97:B101,'Table 3.21-CFS CIOSS Rejs'!F103:F109,'Table 3.21-CFS CIOSS Rejs'!B111:B114)</f>
        <v>0</v>
      </c>
    </row>
    <row r="25" spans="2:4" ht="12.75">
      <c r="B25" s="248">
        <f t="shared" si="0"/>
        <v>22</v>
      </c>
      <c r="C25" s="329"/>
      <c r="D25" s="12"/>
    </row>
    <row r="26" spans="2:4" ht="12.75">
      <c r="B26" s="248">
        <f t="shared" si="0"/>
        <v>23</v>
      </c>
      <c r="C26" s="329">
        <f>SUM('Table 3.23-CIOSS Summary'!C16:J16)</f>
        <v>0</v>
      </c>
      <c r="D26" s="12"/>
    </row>
    <row r="27" spans="2:3" ht="12.75">
      <c r="B27" s="248">
        <f t="shared" si="0"/>
        <v>24</v>
      </c>
      <c r="C27" s="329">
        <f>SUM('Table 3.24-CIOSS Detail'!E42:F45)</f>
        <v>0</v>
      </c>
    </row>
    <row r="28" spans="2:3" ht="12.75">
      <c r="B28" s="248">
        <f t="shared" si="0"/>
        <v>25</v>
      </c>
      <c r="C28" s="329">
        <f>SUM('Table 3.25-REC Summary'!C20:N20)</f>
        <v>0</v>
      </c>
    </row>
    <row r="29" spans="2:3" ht="12.75">
      <c r="B29" s="248">
        <f t="shared" si="0"/>
        <v>26</v>
      </c>
      <c r="C29" s="329">
        <f>SUM('Table 3.26-REC Detail NonACS'!E52:F56,'Table 3.26-REC Detail NonACS'!K52:L52)</f>
        <v>0</v>
      </c>
    </row>
    <row r="30" spans="2:3" ht="12.75">
      <c r="B30" s="248">
        <f>B29+1</f>
        <v>27</v>
      </c>
      <c r="C30" s="329">
        <f>SUM('Table 3.27-REC Detail ACS'!E52:L56)</f>
        <v>0</v>
      </c>
    </row>
    <row r="31" spans="2:3" ht="12.75">
      <c r="B31" s="248">
        <f aca="true" t="shared" si="1" ref="B31:B47">B30+1</f>
        <v>28</v>
      </c>
      <c r="C31" s="329">
        <f>SUM('Table 3.28-REC Volume'!E49:H52)</f>
        <v>0</v>
      </c>
    </row>
    <row r="32" spans="2:3" ht="12.75">
      <c r="B32" s="248">
        <f t="shared" si="1"/>
        <v>29</v>
      </c>
      <c r="C32" s="329"/>
    </row>
    <row r="33" spans="2:3" ht="12.75">
      <c r="B33" s="248">
        <f t="shared" si="1"/>
        <v>30</v>
      </c>
      <c r="C33" s="329">
        <f>SUM('Table 3.30-UAA MP Cost'!B36:F37)</f>
        <v>0</v>
      </c>
    </row>
    <row r="34" spans="2:3" ht="12.75">
      <c r="B34" s="248">
        <f t="shared" si="1"/>
        <v>31</v>
      </c>
      <c r="C34" s="329">
        <f>SUM('Table 3.31-Rating Post Due'!B29:I29)</f>
        <v>0</v>
      </c>
    </row>
    <row r="35" spans="2:3" ht="12.75">
      <c r="B35" s="248">
        <f t="shared" si="1"/>
        <v>32</v>
      </c>
      <c r="C35" s="329">
        <f>SUM('Table 3.32-Accounting Post Due'!C15:F21)</f>
        <v>0</v>
      </c>
    </row>
    <row r="36" spans="2:3" ht="12.75">
      <c r="B36" s="248">
        <f t="shared" si="1"/>
        <v>33</v>
      </c>
      <c r="C36" s="329">
        <f>SUM('Table 3.33-Delivery Post Due'!C22:D35)</f>
        <v>0</v>
      </c>
    </row>
    <row r="37" spans="2:3" ht="12.75">
      <c r="B37" s="248">
        <f t="shared" si="1"/>
        <v>34</v>
      </c>
      <c r="C37" s="329">
        <f>SUM('Table 3.34-Window Post Due'!C15:D19)</f>
        <v>0</v>
      </c>
    </row>
    <row r="38" spans="2:3" ht="12.75">
      <c r="B38" s="248">
        <f t="shared" si="1"/>
        <v>35</v>
      </c>
      <c r="C38" s="329"/>
    </row>
    <row r="39" spans="2:3" ht="12.75">
      <c r="B39" s="248">
        <f t="shared" si="1"/>
        <v>36</v>
      </c>
      <c r="C39" s="329">
        <f>'Table 3.36-Process Form 3546'!F19</f>
        <v>0</v>
      </c>
    </row>
    <row r="40" spans="2:3" ht="12.75">
      <c r="B40" s="248">
        <f t="shared" si="1"/>
        <v>37</v>
      </c>
      <c r="C40" s="329"/>
    </row>
    <row r="41" spans="2:3" ht="12.75">
      <c r="B41" s="248">
        <f t="shared" si="1"/>
        <v>38</v>
      </c>
      <c r="C41" s="329"/>
    </row>
    <row r="42" spans="2:3" ht="12.75">
      <c r="B42" s="248">
        <f t="shared" si="1"/>
        <v>39</v>
      </c>
      <c r="C42" s="329"/>
    </row>
    <row r="43" spans="2:3" ht="12.75">
      <c r="B43" s="248">
        <f t="shared" si="1"/>
        <v>40</v>
      </c>
      <c r="C43" s="329"/>
    </row>
    <row r="44" spans="2:3" ht="12.75">
      <c r="B44" s="248">
        <f t="shared" si="1"/>
        <v>41</v>
      </c>
      <c r="C44" s="329">
        <f>SUM('Table 3.41-Man Notice'!F37:F39)</f>
        <v>0</v>
      </c>
    </row>
    <row r="45" spans="2:3" ht="12.75">
      <c r="B45" s="248">
        <f t="shared" si="1"/>
        <v>42</v>
      </c>
      <c r="C45" s="329">
        <f>SUM('Table 3.42-Vol Flows'!B26:M30)</f>
        <v>0</v>
      </c>
    </row>
    <row r="46" spans="2:3" ht="12.75">
      <c r="B46" s="248">
        <f t="shared" si="1"/>
        <v>43</v>
      </c>
      <c r="C46" s="329">
        <f>SUM('Table 3.43-Elec Notice'!B36:R38)</f>
        <v>0</v>
      </c>
    </row>
    <row r="47" spans="2:3" ht="12.75">
      <c r="B47" s="249">
        <f t="shared" si="1"/>
        <v>44</v>
      </c>
      <c r="C47" s="330">
        <f>SUM('Table 3.44-One Code ACS'!B36:P37)</f>
        <v>0</v>
      </c>
    </row>
    <row r="48" ht="12.75">
      <c r="C48" s="590">
        <f>SUM(C4:C47)</f>
        <v>-9.273115608721128E-10</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R4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548</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ht="12.75">
      <c r="A4" s="333" t="s">
        <v>595</v>
      </c>
    </row>
    <row r="5" spans="1:18" ht="12.75">
      <c r="A5" s="353" t="s">
        <v>307</v>
      </c>
      <c r="B5" s="32">
        <f>'Table 3.15-Route UAA NoPARS'!D102</f>
        <v>42984.2265111203</v>
      </c>
      <c r="C5" s="241" t="s">
        <v>240</v>
      </c>
      <c r="D5" s="488">
        <f>F5/B5</f>
        <v>0.09763682317821337</v>
      </c>
      <c r="E5" s="27"/>
      <c r="F5" s="489">
        <f>'Table 3.15-Route UAA NoPARS'!J102</f>
        <v>4196.843323318524</v>
      </c>
      <c r="G5" s="241" t="s">
        <v>240</v>
      </c>
      <c r="H5" s="358">
        <f>B5/$B$24</f>
        <v>0.54319183756487</v>
      </c>
      <c r="J5" s="22">
        <f>D5*H5</f>
        <v>0.053035525396170013</v>
      </c>
      <c r="N5" s="27"/>
      <c r="O5" s="27"/>
      <c r="P5" s="27"/>
      <c r="Q5" s="27"/>
      <c r="R5" s="27"/>
    </row>
    <row r="6" spans="1:10" ht="12.75">
      <c r="A6" s="239" t="s">
        <v>520</v>
      </c>
      <c r="B6" s="32">
        <f>SUM('Table 3.18-Nixie UAA'!D15,'Table 3.18-Nixie UAA'!D24)</f>
        <v>42984.226511120316</v>
      </c>
      <c r="C6" s="241" t="s">
        <v>241</v>
      </c>
      <c r="D6" s="488">
        <f>F6/B6</f>
        <v>0.12706983096340496</v>
      </c>
      <c r="E6" s="27"/>
      <c r="F6" s="489">
        <f>SUM('Table 3.18-Nixie UAA'!I15,'Table 3.18-Nixie UAA'!I24)</f>
        <v>5461.9983968607685</v>
      </c>
      <c r="G6" s="241" t="s">
        <v>241</v>
      </c>
      <c r="H6" s="358">
        <f>B6/$B$24</f>
        <v>0.5431918375648701</v>
      </c>
      <c r="J6" s="22">
        <f>D6*H6</f>
        <v>0.06902329498006937</v>
      </c>
    </row>
    <row r="7" spans="1:10" ht="12.75">
      <c r="A7" s="353" t="s">
        <v>98</v>
      </c>
      <c r="B7" s="32">
        <f>SUM('Table 3.31-Rating Post Due'!B12,'Table 3.31-Rating Post Due'!B20)</f>
        <v>252.76956272890595</v>
      </c>
      <c r="C7" s="241" t="s">
        <v>242</v>
      </c>
      <c r="D7" s="488">
        <f>F7/B7</f>
        <v>0.1941605273578052</v>
      </c>
      <c r="E7" s="27"/>
      <c r="F7" s="489">
        <f>SUM('Table 3.31-Rating Post Due'!H12,'Table 3.31-Rating Post Due'!H20)</f>
        <v>49.077871599446205</v>
      </c>
      <c r="G7" s="241" t="s">
        <v>242</v>
      </c>
      <c r="H7" s="358">
        <f>B7/$B$24</f>
        <v>0.0031942499470977354</v>
      </c>
      <c r="J7" s="22">
        <f>D7*H7</f>
        <v>0.0006201972542411376</v>
      </c>
    </row>
    <row r="8" spans="1:10" ht="12.75">
      <c r="A8" s="353" t="s">
        <v>102</v>
      </c>
      <c r="B8" s="32">
        <f>B5</f>
        <v>42984.2265111203</v>
      </c>
      <c r="C8" s="27"/>
      <c r="D8" s="488">
        <f>F8/B8</f>
        <v>0.22584841882096532</v>
      </c>
      <c r="E8" s="27"/>
      <c r="F8" s="489">
        <f>SUM(F5:F7)</f>
        <v>9707.919591778738</v>
      </c>
      <c r="J8" s="22">
        <f>SUM(J5:J7)</f>
        <v>0.12267901763048052</v>
      </c>
    </row>
    <row r="9" spans="2:11" ht="4.5" customHeight="1">
      <c r="B9" s="32"/>
      <c r="C9" s="27"/>
      <c r="D9" s="488"/>
      <c r="E9" s="27"/>
      <c r="F9" s="489"/>
      <c r="H9" s="6"/>
      <c r="K9" s="6"/>
    </row>
    <row r="10" spans="1:8" ht="12.75">
      <c r="A10" s="15" t="s">
        <v>596</v>
      </c>
      <c r="B10" s="32"/>
      <c r="C10" s="27"/>
      <c r="D10" s="488"/>
      <c r="E10" s="27"/>
      <c r="F10" s="489"/>
      <c r="H10" s="142"/>
    </row>
    <row r="11" spans="1:10" ht="12.75" customHeight="1">
      <c r="A11" s="353" t="s">
        <v>307</v>
      </c>
      <c r="B11" s="32">
        <f>'Table 3.15-Route UAA NoPARS'!D106</f>
        <v>36148.45468640775</v>
      </c>
      <c r="C11" s="241" t="s">
        <v>240</v>
      </c>
      <c r="D11" s="488">
        <f>F11/B11</f>
        <v>0.08188586378344292</v>
      </c>
      <c r="E11" s="27"/>
      <c r="F11" s="489">
        <f>'Table 3.15-Route UAA NoPARS'!J106</f>
        <v>2960.047436433144</v>
      </c>
      <c r="G11" s="241" t="s">
        <v>240</v>
      </c>
      <c r="H11" s="358">
        <f>B11/$B$24</f>
        <v>0.45680816243512995</v>
      </c>
      <c r="J11" s="22">
        <f>D11*H11</f>
        <v>0.03740613096432792</v>
      </c>
    </row>
    <row r="12" spans="1:10" ht="12.75" customHeight="1">
      <c r="A12" s="239" t="s">
        <v>96</v>
      </c>
      <c r="B12" s="32">
        <f>'Table 3.20-CFS Non-CIOSS'!B9</f>
        <v>36148.45468640774</v>
      </c>
      <c r="C12" s="241" t="s">
        <v>243</v>
      </c>
      <c r="D12" s="488">
        <f>F12/B12</f>
        <v>0.2821015537287989</v>
      </c>
      <c r="E12" s="27"/>
      <c r="F12" s="489">
        <f>'Table 3.20-CFS Non-CIOSS'!H9</f>
        <v>10197.535231930706</v>
      </c>
      <c r="G12" s="241" t="s">
        <v>243</v>
      </c>
      <c r="H12" s="358">
        <f>B12/$B$24</f>
        <v>0.45680816243512984</v>
      </c>
      <c r="J12" s="22">
        <f>D12*H12</f>
        <v>0.12886629237894767</v>
      </c>
    </row>
    <row r="13" spans="1:10" ht="12.75">
      <c r="A13" s="239" t="s">
        <v>310</v>
      </c>
      <c r="B13" s="32">
        <f>'Table 3.20-CFS Non-CIOSS'!B45+'Table 3.20-CFS Non-CIOSS'!B56</f>
        <v>1058.1150273729702</v>
      </c>
      <c r="C13" s="241" t="s">
        <v>243</v>
      </c>
      <c r="D13" s="488">
        <f>F13/B13</f>
        <v>0.3732030232015893</v>
      </c>
      <c r="E13" s="490"/>
      <c r="F13" s="32">
        <f>'Table 3.20-CFS Non-CIOSS'!H45+'Table 3.20-CFS Non-CIOSS'!H56</f>
        <v>394.8917271106249</v>
      </c>
      <c r="G13" s="241" t="s">
        <v>243</v>
      </c>
      <c r="H13" s="358">
        <f>B13/$B$24</f>
        <v>0.01337140371538458</v>
      </c>
      <c r="J13" s="22">
        <f>D13*H13</f>
        <v>0.004990248291030489</v>
      </c>
    </row>
    <row r="14" spans="1:10" ht="12.75">
      <c r="A14" s="353" t="s">
        <v>102</v>
      </c>
      <c r="B14" s="32">
        <f>B11</f>
        <v>36148.45468640775</v>
      </c>
      <c r="C14" s="490"/>
      <c r="D14" s="488">
        <f>F14/B14</f>
        <v>0.3749115837189679</v>
      </c>
      <c r="E14" s="490"/>
      <c r="F14" s="489">
        <f>SUM(F11:F13)</f>
        <v>13552.474395474475</v>
      </c>
      <c r="H14" s="142"/>
      <c r="J14" s="83">
        <f>SUM(J11:J13)</f>
        <v>0.17126267163430606</v>
      </c>
    </row>
    <row r="15" spans="1:10" ht="4.5" customHeight="1">
      <c r="A15" s="100"/>
      <c r="B15" s="324"/>
      <c r="C15" s="18"/>
      <c r="D15" s="18"/>
      <c r="E15" s="18"/>
      <c r="F15" s="489"/>
      <c r="G15" s="18"/>
      <c r="H15" s="142"/>
      <c r="I15" s="18"/>
      <c r="J15" s="18"/>
    </row>
    <row r="16" spans="1:10" ht="12.75" customHeight="1">
      <c r="A16" s="15" t="s">
        <v>579</v>
      </c>
      <c r="B16" s="324"/>
      <c r="C16" s="18"/>
      <c r="D16" s="18"/>
      <c r="E16" s="18"/>
      <c r="F16" s="489"/>
      <c r="G16" s="18"/>
      <c r="H16" s="142"/>
      <c r="I16" s="18"/>
      <c r="J16" s="18"/>
    </row>
    <row r="17" spans="1:10" ht="12.75" customHeight="1">
      <c r="A17" s="353" t="s">
        <v>320</v>
      </c>
      <c r="B17" s="6">
        <f>SUM(B8,B14)</f>
        <v>79132.68119752806</v>
      </c>
      <c r="D17" s="83">
        <f>'Table 3.30-UAA MP Cost'!D16</f>
        <v>0.38448031328531096</v>
      </c>
      <c r="E17" s="12" t="s">
        <v>586</v>
      </c>
      <c r="F17" s="489">
        <f>B17*D17</f>
        <v>30424.958057932225</v>
      </c>
      <c r="G17" s="18"/>
      <c r="H17" s="358">
        <f>B17/$B$24</f>
        <v>1</v>
      </c>
      <c r="I17" s="18"/>
      <c r="J17" s="22">
        <f>D17*H17</f>
        <v>0.38448031328531096</v>
      </c>
    </row>
    <row r="18" spans="1:10" ht="12.75">
      <c r="A18" s="353" t="s">
        <v>99</v>
      </c>
      <c r="B18" s="6">
        <f>'Table 3.35-PD Vols'!D6</f>
        <v>1310.8845901018763</v>
      </c>
      <c r="C18" s="12" t="s">
        <v>244</v>
      </c>
      <c r="D18" s="83">
        <f>'Table 3.32-Accounting Post Due'!I7</f>
        <v>2.327113758990404</v>
      </c>
      <c r="E18" s="12" t="s">
        <v>587</v>
      </c>
      <c r="F18" s="489">
        <f>B18*D18</f>
        <v>3050.577566074572</v>
      </c>
      <c r="G18" s="18"/>
      <c r="H18" s="358">
        <f>B18/$B$24</f>
        <v>0.01656565366248232</v>
      </c>
      <c r="I18" s="18"/>
      <c r="J18" s="22">
        <f>D18*H18</f>
        <v>0.03855016056463238</v>
      </c>
    </row>
    <row r="19" spans="1:10" ht="12.75">
      <c r="A19" s="353" t="s">
        <v>100</v>
      </c>
      <c r="B19" s="6">
        <f>'Table 3.35-PD Vols'!D7</f>
        <v>971.0954346688156</v>
      </c>
      <c r="C19" s="12" t="s">
        <v>244</v>
      </c>
      <c r="D19" s="83">
        <f>'Table 3.33-Delivery Post Due'!I11</f>
        <v>0.8875724776281855</v>
      </c>
      <c r="E19" s="12" t="s">
        <v>590</v>
      </c>
      <c r="F19" s="489">
        <f>B19*D19</f>
        <v>861.9175809624204</v>
      </c>
      <c r="G19" s="18"/>
      <c r="H19" s="358">
        <f>B19/$B$24</f>
        <v>0.012271736784007146</v>
      </c>
      <c r="I19" s="18"/>
      <c r="J19" s="22">
        <f>D19*H19</f>
        <v>0.010892055822182164</v>
      </c>
    </row>
    <row r="20" spans="1:10" ht="12.75">
      <c r="A20" s="497" t="s">
        <v>210</v>
      </c>
      <c r="B20" s="6">
        <f>'Table 3.35-PD Vols'!D8</f>
        <v>339.78915543306067</v>
      </c>
      <c r="C20" s="12" t="s">
        <v>244</v>
      </c>
      <c r="D20" s="83">
        <f>'Table 3.34-Window Post Due'!I7</f>
        <v>0.4736101324003773</v>
      </c>
      <c r="E20" s="12" t="s">
        <v>591</v>
      </c>
      <c r="F20" s="489">
        <f>B20*D20</f>
        <v>160.92758689286424</v>
      </c>
      <c r="G20" s="18"/>
      <c r="H20" s="358">
        <f>B20/$B$24</f>
        <v>0.004293916878475173</v>
      </c>
      <c r="I20" s="18"/>
      <c r="J20" s="22">
        <f>D20*H20</f>
        <v>0.0020336425413308413</v>
      </c>
    </row>
    <row r="21" spans="1:10" ht="12.75">
      <c r="A21" s="497" t="s">
        <v>101</v>
      </c>
      <c r="B21" s="6">
        <f>'Table 3.36-Process Form 3546'!B4</f>
        <v>804.428063476751</v>
      </c>
      <c r="C21" s="12" t="s">
        <v>582</v>
      </c>
      <c r="D21" s="83">
        <f>'Table 3.36-Process Form 3546'!J17</f>
        <v>4.326964613536528</v>
      </c>
      <c r="E21" s="12" t="s">
        <v>582</v>
      </c>
      <c r="F21" s="489">
        <f>B21*D21</f>
        <v>3480.7317647996174</v>
      </c>
      <c r="G21" s="18"/>
      <c r="H21" s="358">
        <f>B21/$B$24</f>
        <v>0.010165560566168201</v>
      </c>
      <c r="I21" s="18"/>
      <c r="J21" s="22">
        <f>D21*H21</f>
        <v>0.04398602084657215</v>
      </c>
    </row>
    <row r="22" spans="1:10" ht="12.75">
      <c r="A22" s="100" t="s">
        <v>102</v>
      </c>
      <c r="B22" s="324">
        <f>B17</f>
        <v>79132.68119752806</v>
      </c>
      <c r="C22" s="18"/>
      <c r="D22" s="83">
        <f>F22/B22</f>
        <v>0.47994219306002855</v>
      </c>
      <c r="E22" s="18"/>
      <c r="F22" s="489">
        <f>SUM(F17:F21)</f>
        <v>37979.112556661705</v>
      </c>
      <c r="G22" s="18"/>
      <c r="H22" s="142"/>
      <c r="I22" s="18"/>
      <c r="J22" s="552">
        <f>SUM(J17:J21)</f>
        <v>0.4799421930600285</v>
      </c>
    </row>
    <row r="23" spans="1:10" ht="4.5" customHeight="1">
      <c r="A23" s="91"/>
      <c r="B23" s="324"/>
      <c r="C23" s="18"/>
      <c r="D23" s="83"/>
      <c r="E23" s="18"/>
      <c r="F23" s="489"/>
      <c r="G23" s="18"/>
      <c r="H23" s="142"/>
      <c r="I23" s="18"/>
      <c r="J23" s="18"/>
    </row>
    <row r="24" spans="1:10" ht="12.75">
      <c r="A24" s="91" t="s">
        <v>494</v>
      </c>
      <c r="B24" s="393">
        <f>SUM(B8,B14)</f>
        <v>79132.68119752806</v>
      </c>
      <c r="C24" s="18"/>
      <c r="D24" s="83"/>
      <c r="E24" s="18"/>
      <c r="F24" s="508">
        <f>SUM(F8,F14,F22)</f>
        <v>61239.50654391492</v>
      </c>
      <c r="G24" s="18"/>
      <c r="H24" s="142"/>
      <c r="I24" s="18"/>
      <c r="J24" s="553">
        <f>SUM(J8,J14,J22)</f>
        <v>0.7738838823248151</v>
      </c>
    </row>
    <row r="25" spans="1:10" ht="12.75" hidden="1">
      <c r="A25" s="91"/>
      <c r="B25" s="324"/>
      <c r="C25" s="18"/>
      <c r="D25" s="83"/>
      <c r="E25" s="18"/>
      <c r="F25" s="175"/>
      <c r="G25" s="18"/>
      <c r="H25" s="142"/>
      <c r="I25" s="18"/>
      <c r="J25" s="18"/>
    </row>
    <row r="26" spans="1:10" ht="12.75" hidden="1">
      <c r="A26" s="5"/>
      <c r="B26" s="240"/>
      <c r="F26" s="359"/>
      <c r="H26" s="6"/>
      <c r="J26" s="6"/>
    </row>
    <row r="27" spans="1:11" ht="12.75" hidden="1">
      <c r="A27" s="23" t="s">
        <v>191</v>
      </c>
      <c r="B27" s="240"/>
      <c r="G27" s="482" t="s">
        <v>311</v>
      </c>
      <c r="H27" s="6">
        <f>SUM('Table 3.15-Route UAA NoPARS'!J102,'Table 3.15-Route UAA NoPARS'!J106)</f>
        <v>7156.890759751668</v>
      </c>
      <c r="J27" s="6">
        <f>SUM(F5,F11)</f>
        <v>7156.890759751668</v>
      </c>
      <c r="K27" s="143">
        <f aca="true" t="shared" si="0" ref="K27:K32">H27-J27</f>
        <v>0</v>
      </c>
    </row>
    <row r="28" spans="1:11" ht="12.75" hidden="1">
      <c r="A28" s="5"/>
      <c r="B28" s="240"/>
      <c r="G28" s="46" t="s">
        <v>312</v>
      </c>
      <c r="H28" s="6">
        <f>SUM('Table 3.18-Nixie UAA'!I15,'Table 3.18-Nixie UAA'!I24)+SUM('Table 3.31-Rating Post Due'!H12,'Table 3.31-Rating Post Due'!H20)</f>
        <v>5511.076268460215</v>
      </c>
      <c r="J28" s="6">
        <f>SUM(F6:F7)</f>
        <v>5511.076268460215</v>
      </c>
      <c r="K28" s="143">
        <f t="shared" si="0"/>
        <v>0</v>
      </c>
    </row>
    <row r="29" spans="1:11" ht="12.75" hidden="1">
      <c r="A29" s="5"/>
      <c r="B29" s="240"/>
      <c r="G29" s="46" t="s">
        <v>313</v>
      </c>
      <c r="H29" s="6">
        <f>SUM('Table 3.20-CFS Non-CIOSS'!H9,'Table 3.20-CFS Non-CIOSS'!H45,'Table 3.20-CFS Non-CIOSS'!H56)</f>
        <v>10592.42695904133</v>
      </c>
      <c r="J29" s="6">
        <f>SUM(F12:F13)</f>
        <v>10592.426959041331</v>
      </c>
      <c r="K29" s="143">
        <f t="shared" si="0"/>
        <v>0</v>
      </c>
    </row>
    <row r="30" spans="1:11" ht="12.75" hidden="1">
      <c r="A30" s="5"/>
      <c r="B30" s="240"/>
      <c r="G30" s="67" t="s">
        <v>518</v>
      </c>
      <c r="H30" s="32">
        <f>'Table 3.30-UAA MP Cost'!F16</f>
        <v>30424.958057932217</v>
      </c>
      <c r="J30" s="6">
        <f>F17</f>
        <v>30424.958057932225</v>
      </c>
      <c r="K30" s="143">
        <f t="shared" si="0"/>
        <v>0</v>
      </c>
    </row>
    <row r="31" spans="1:11" ht="12.75" hidden="1">
      <c r="A31" s="5"/>
      <c r="G31" s="67" t="s">
        <v>315</v>
      </c>
      <c r="H31" s="32">
        <f>SUM(F18:F21)</f>
        <v>7554.154498729475</v>
      </c>
      <c r="I31" s="27"/>
      <c r="J31" s="32">
        <f>SUM(F18:F21)</f>
        <v>7554.154498729475</v>
      </c>
      <c r="K31" s="143">
        <f t="shared" si="0"/>
        <v>0</v>
      </c>
    </row>
    <row r="32" spans="1:11" ht="12.75" hidden="1">
      <c r="A32" s="5"/>
      <c r="B32" s="240"/>
      <c r="G32" s="46" t="s">
        <v>314</v>
      </c>
      <c r="H32" s="6">
        <f>SUM(H27:H31)</f>
        <v>61239.506543914904</v>
      </c>
      <c r="J32" s="6">
        <f>SUM(J27:J31)</f>
        <v>61239.50654391492</v>
      </c>
      <c r="K32" s="143">
        <f t="shared" si="0"/>
        <v>0</v>
      </c>
    </row>
    <row r="33" spans="1:8" ht="12.75">
      <c r="A33" s="283"/>
      <c r="B33" s="283"/>
      <c r="C33" s="283"/>
      <c r="D33" s="283"/>
      <c r="E33" s="283"/>
      <c r="F33" s="283"/>
      <c r="H33" s="240"/>
    </row>
    <row r="34" ht="12.75">
      <c r="A34" s="284" t="s">
        <v>235</v>
      </c>
    </row>
    <row r="35" spans="1:4" ht="12.75">
      <c r="A35" s="241" t="s">
        <v>597</v>
      </c>
      <c r="C35" s="241" t="s">
        <v>684</v>
      </c>
      <c r="D35" s="12"/>
    </row>
    <row r="36" spans="1:10" ht="12.75">
      <c r="A36" s="241" t="s">
        <v>598</v>
      </c>
      <c r="C36" s="241" t="s">
        <v>685</v>
      </c>
      <c r="D36" s="12"/>
      <c r="F36" s="6"/>
      <c r="H36" s="234"/>
      <c r="J36" s="6"/>
    </row>
    <row r="37" spans="1:10" ht="12.75">
      <c r="A37" s="241" t="s">
        <v>581</v>
      </c>
      <c r="C37" s="241" t="s">
        <v>686</v>
      </c>
      <c r="D37" s="12"/>
      <c r="F37" s="6"/>
      <c r="H37" s="234"/>
      <c r="J37" s="6"/>
    </row>
    <row r="38" spans="1:10" ht="12.75">
      <c r="A38" s="241" t="s">
        <v>599</v>
      </c>
      <c r="C38" s="241" t="s">
        <v>687</v>
      </c>
      <c r="F38" s="6"/>
      <c r="H38" s="234"/>
      <c r="J38" s="6"/>
    </row>
    <row r="39" spans="1:10" ht="12.75">
      <c r="A39" s="241" t="s">
        <v>600</v>
      </c>
      <c r="C39" s="241" t="s">
        <v>688</v>
      </c>
      <c r="F39" s="6"/>
      <c r="H39" s="234"/>
      <c r="J39" s="6"/>
    </row>
    <row r="40" spans="1:10" ht="12.75">
      <c r="A40" s="241" t="s">
        <v>22</v>
      </c>
      <c r="C40" s="241" t="s">
        <v>689</v>
      </c>
      <c r="J40" s="6"/>
    </row>
    <row r="41" ht="12.75">
      <c r="A41" s="241" t="s">
        <v>601</v>
      </c>
    </row>
    <row r="42" ht="12.75">
      <c r="J42" s="6"/>
    </row>
    <row r="43" ht="12.75">
      <c r="J43" s="358"/>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K5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549</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0" ht="12.75" customHeight="1">
      <c r="A6" s="239" t="s">
        <v>12</v>
      </c>
      <c r="B6" s="32">
        <f>'Table 3.6-PARS RTS Summary'!B10</f>
        <v>21809.752596610837</v>
      </c>
      <c r="C6" s="27"/>
      <c r="D6" s="488">
        <f aca="true" t="shared" si="0" ref="D6:D12">F6/B6</f>
        <v>0.11182844915213529</v>
      </c>
      <c r="E6" s="27"/>
      <c r="F6" s="489">
        <f>'Table 3.6-PARS RTS Summary'!F10</f>
        <v>2438.9508092707456</v>
      </c>
      <c r="G6" s="27"/>
      <c r="H6" s="134">
        <f aca="true" t="shared" si="1" ref="H6:H12">B6/$B$38</f>
        <v>0.016596800205742977</v>
      </c>
      <c r="I6" s="27"/>
      <c r="J6" s="500">
        <f aca="true" t="shared" si="2" ref="J6:J11">D6*H6</f>
        <v>0.001855994427896077</v>
      </c>
    </row>
    <row r="7" spans="1:10" ht="12.75" customHeight="1">
      <c r="A7" s="353" t="s">
        <v>506</v>
      </c>
      <c r="B7" s="32">
        <f>'Table 3.6-PARS RTS Summary'!B18</f>
        <v>205191.4436368581</v>
      </c>
      <c r="C7" s="27"/>
      <c r="D7" s="488">
        <f t="shared" si="0"/>
        <v>0.11887444209710823</v>
      </c>
      <c r="E7" s="27"/>
      <c r="F7" s="489">
        <f>'Table 3.6-PARS RTS Summary'!F18</f>
        <v>24392.018385431737</v>
      </c>
      <c r="G7" s="27"/>
      <c r="H7" s="134">
        <f t="shared" si="1"/>
        <v>0.15614672284261086</v>
      </c>
      <c r="I7" s="27"/>
      <c r="J7" s="500">
        <f t="shared" si="2"/>
        <v>0.018561854563207154</v>
      </c>
    </row>
    <row r="8" spans="1:10" ht="12.75" customHeight="1">
      <c r="A8" s="353" t="s">
        <v>507</v>
      </c>
      <c r="B8" s="32">
        <f>'Table 3.6-PARS RTS Summary'!B28</f>
        <v>22799.04929298423</v>
      </c>
      <c r="C8" s="27"/>
      <c r="D8" s="488">
        <f t="shared" si="0"/>
        <v>0.19338916787723845</v>
      </c>
      <c r="E8" s="27"/>
      <c r="F8" s="489">
        <f>'Table 3.6-PARS RTS Summary'!F28</f>
        <v>4409.089171162362</v>
      </c>
      <c r="G8" s="27"/>
      <c r="H8" s="134">
        <f t="shared" si="1"/>
        <v>0.017349635871401203</v>
      </c>
      <c r="I8" s="27"/>
      <c r="J8" s="500">
        <f t="shared" si="2"/>
        <v>0.0033552316441433656</v>
      </c>
    </row>
    <row r="9" spans="1:10" ht="12.75" customHeight="1">
      <c r="A9" s="353" t="s">
        <v>510</v>
      </c>
      <c r="B9" s="32">
        <f>'Table 3.6-PARS RTS Summary'!B38</f>
        <v>889717.6605400663</v>
      </c>
      <c r="C9" s="27"/>
      <c r="D9" s="488">
        <f t="shared" si="0"/>
        <v>0.045684821368677804</v>
      </c>
      <c r="E9" s="27"/>
      <c r="F9" s="489">
        <f>'Table 3.6-PARS RTS Summary'!F38</f>
        <v>40646.59239033084</v>
      </c>
      <c r="G9" s="27"/>
      <c r="H9" s="134">
        <f t="shared" si="1"/>
        <v>0.6770579439676538</v>
      </c>
      <c r="I9" s="27"/>
      <c r="J9" s="500">
        <f t="shared" si="2"/>
        <v>0.030931271226406532</v>
      </c>
    </row>
    <row r="10" spans="1:10" ht="12.75" customHeight="1">
      <c r="A10" s="353" t="s">
        <v>508</v>
      </c>
      <c r="B10" s="32">
        <f>'Table 3.6-PARS RTS Summary'!B49</f>
        <v>3466.5920378705964</v>
      </c>
      <c r="C10" s="27"/>
      <c r="D10" s="488">
        <f t="shared" si="0"/>
        <v>0.08466537859424415</v>
      </c>
      <c r="E10" s="27"/>
      <c r="F10" s="494">
        <f>'Table 3.6-PARS RTS Summary'!F49</f>
        <v>293.50032731810643</v>
      </c>
      <c r="G10" s="27"/>
      <c r="H10" s="134">
        <f t="shared" si="1"/>
        <v>0.002638009541488257</v>
      </c>
      <c r="I10" s="27"/>
      <c r="J10" s="500">
        <f t="shared" si="2"/>
        <v>0.00022334807656533172</v>
      </c>
    </row>
    <row r="11" spans="1:10" ht="12.75" customHeight="1">
      <c r="A11" s="353" t="s">
        <v>509</v>
      </c>
      <c r="B11" s="32">
        <f>'Table 3.6-PARS RTS Summary'!B59</f>
        <v>82665.01489561028</v>
      </c>
      <c r="C11" s="27"/>
      <c r="D11" s="488">
        <f t="shared" si="0"/>
        <v>0.13100276674768913</v>
      </c>
      <c r="E11" s="27"/>
      <c r="F11" s="494">
        <f>'Table 3.6-PARS RTS Summary'!F59</f>
        <v>10829.34566456388</v>
      </c>
      <c r="G11" s="27"/>
      <c r="H11" s="134">
        <f t="shared" si="1"/>
        <v>0.06290647865672769</v>
      </c>
      <c r="I11" s="27"/>
      <c r="J11" s="500">
        <f t="shared" si="2"/>
        <v>0.008240922750385783</v>
      </c>
    </row>
    <row r="12" spans="1:10" ht="12.75" customHeight="1">
      <c r="A12" s="353" t="s">
        <v>102</v>
      </c>
      <c r="B12" s="32">
        <f>SUM(B6:B11)</f>
        <v>1225649.5130000003</v>
      </c>
      <c r="C12" s="27"/>
      <c r="D12" s="488">
        <f t="shared" si="0"/>
        <v>0.06772694466699278</v>
      </c>
      <c r="E12" s="27"/>
      <c r="F12" s="494">
        <f>SUM(F6:F11)</f>
        <v>83009.49674807767</v>
      </c>
      <c r="G12" s="27"/>
      <c r="H12" s="134">
        <f t="shared" si="1"/>
        <v>0.9326955910856247</v>
      </c>
      <c r="I12" s="27"/>
      <c r="J12" s="500">
        <f>SUM(J6:J11)</f>
        <v>0.06316862268860424</v>
      </c>
    </row>
    <row r="13" spans="1:10" ht="4.5" customHeight="1">
      <c r="A13" s="353"/>
      <c r="B13" s="32"/>
      <c r="C13" s="27"/>
      <c r="D13" s="27"/>
      <c r="E13" s="27"/>
      <c r="F13" s="494"/>
      <c r="G13" s="27"/>
      <c r="H13" s="486"/>
      <c r="I13" s="27"/>
      <c r="J13" s="500"/>
    </row>
    <row r="14" spans="1:10" ht="12.75" customHeight="1">
      <c r="A14" s="353" t="s">
        <v>517</v>
      </c>
      <c r="B14" s="32"/>
      <c r="C14" s="27"/>
      <c r="D14" s="27"/>
      <c r="E14" s="27"/>
      <c r="F14" s="494"/>
      <c r="G14" s="27"/>
      <c r="H14" s="486"/>
      <c r="I14" s="27"/>
      <c r="J14" s="500"/>
    </row>
    <row r="15" spans="1:10" ht="12.75" customHeight="1">
      <c r="A15" s="501" t="s">
        <v>320</v>
      </c>
      <c r="B15" s="32">
        <f>'Table 3.6-PARS RTS Summary'!B62</f>
        <v>1225649.5130000003</v>
      </c>
      <c r="C15" s="27"/>
      <c r="D15" s="488">
        <f>F15/B15</f>
        <v>0.385176452465069</v>
      </c>
      <c r="E15" s="27"/>
      <c r="F15" s="494">
        <f>'Table 3.6-PARS RTS Summary'!F62</f>
        <v>472091.3313828796</v>
      </c>
      <c r="G15" s="27"/>
      <c r="H15" s="134">
        <f>B15/$B$38</f>
        <v>0.9326955910856247</v>
      </c>
      <c r="I15" s="27"/>
      <c r="J15" s="500">
        <f>D15*H15</f>
        <v>0.35925237900417156</v>
      </c>
    </row>
    <row r="16" spans="1:10" ht="12.75" customHeight="1">
      <c r="A16" s="501" t="s">
        <v>99</v>
      </c>
      <c r="B16" s="32">
        <f>'Table 3.6-PARS RTS Summary'!B63</f>
        <v>5161.771480457425</v>
      </c>
      <c r="C16" s="27"/>
      <c r="D16" s="488">
        <f>F16/B16</f>
        <v>2.3271137589904054</v>
      </c>
      <c r="E16" s="27"/>
      <c r="F16" s="494">
        <f>'Table 3.6-PARS RTS Summary'!F63</f>
        <v>12012.029432936748</v>
      </c>
      <c r="G16" s="27"/>
      <c r="H16" s="134">
        <f>B16/$B$38</f>
        <v>0.003928008334315845</v>
      </c>
      <c r="I16" s="27"/>
      <c r="J16" s="500">
        <f>D16*H16</f>
        <v>0.009140922240215387</v>
      </c>
    </row>
    <row r="17" spans="1:10" ht="12.75" customHeight="1">
      <c r="A17" s="501" t="s">
        <v>100</v>
      </c>
      <c r="B17" s="32">
        <f>'Table 3.6-PARS RTS Summary'!B64</f>
        <v>4272.5082045449435</v>
      </c>
      <c r="C17" s="27"/>
      <c r="D17" s="488">
        <f>F17/B17</f>
        <v>0.8875724776281861</v>
      </c>
      <c r="E17" s="27"/>
      <c r="F17" s="494">
        <f>'Table 3.6-PARS RTS Summary'!F64</f>
        <v>3792.1606927947087</v>
      </c>
      <c r="G17" s="27"/>
      <c r="H17" s="134">
        <f>B17/$B$38</f>
        <v>0.0032512961682678253</v>
      </c>
      <c r="I17" s="27"/>
      <c r="J17" s="500">
        <f>D17*H17</f>
        <v>0.002885760995572502</v>
      </c>
    </row>
    <row r="18" spans="1:10" ht="12.75" customHeight="1">
      <c r="A18" s="502" t="s">
        <v>210</v>
      </c>
      <c r="B18" s="32">
        <f>'Table 3.6-PARS RTS Summary'!B65</f>
        <v>490.5659863547917</v>
      </c>
      <c r="C18" s="27"/>
      <c r="D18" s="488">
        <f>F18/B18</f>
        <v>0.4736101324003771</v>
      </c>
      <c r="E18" s="27"/>
      <c r="F18" s="494">
        <f>'Table 3.6-PARS RTS Summary'!F65</f>
        <v>232.33702174861446</v>
      </c>
      <c r="G18" s="27"/>
      <c r="H18" s="134">
        <f>B18/$B$38</f>
        <v>0.0003733112343754383</v>
      </c>
      <c r="I18" s="27"/>
      <c r="J18" s="500">
        <f>D18*H18</f>
        <v>0.00017680398313909954</v>
      </c>
    </row>
    <row r="19" spans="1:10" ht="12.75" customHeight="1">
      <c r="A19" s="503" t="s">
        <v>102</v>
      </c>
      <c r="B19" s="32">
        <f>B15</f>
        <v>1225649.5130000003</v>
      </c>
      <c r="C19" s="27"/>
      <c r="D19" s="488">
        <f>F19/B19</f>
        <v>0.3982605576496154</v>
      </c>
      <c r="E19" s="27"/>
      <c r="F19" s="494">
        <f>SUM(F15:F18)</f>
        <v>488127.85853035963</v>
      </c>
      <c r="G19" s="27"/>
      <c r="H19" s="134">
        <f>B19/$B$38</f>
        <v>0.9326955910856247</v>
      </c>
      <c r="I19" s="27"/>
      <c r="J19" s="500">
        <f>SUM(J15:J18)</f>
        <v>0.37145586622309856</v>
      </c>
    </row>
    <row r="20" spans="1:10" ht="4.5" customHeight="1">
      <c r="A20" s="353"/>
      <c r="B20" s="32"/>
      <c r="C20" s="27"/>
      <c r="D20" s="27"/>
      <c r="E20" s="27"/>
      <c r="F20" s="494"/>
      <c r="G20" s="27"/>
      <c r="H20" s="486"/>
      <c r="I20" s="27"/>
      <c r="J20" s="500"/>
    </row>
    <row r="21" spans="1:10" ht="12.75" customHeight="1">
      <c r="A21" s="353" t="s">
        <v>504</v>
      </c>
      <c r="B21" s="32">
        <f>B12</f>
        <v>1225649.5130000003</v>
      </c>
      <c r="C21" s="27"/>
      <c r="D21" s="488">
        <f>F21/B21</f>
        <v>0.4659875023166081</v>
      </c>
      <c r="E21" s="27"/>
      <c r="F21" s="494">
        <f>SUM(F12,F19)</f>
        <v>571137.3552784373</v>
      </c>
      <c r="G21" s="27"/>
      <c r="H21" s="134">
        <f>B21/$B$38</f>
        <v>0.9326955910856247</v>
      </c>
      <c r="I21" s="27"/>
      <c r="J21" s="500">
        <f>J12+J19</f>
        <v>0.4346244889117028</v>
      </c>
    </row>
    <row r="22" spans="1:10" ht="12.75" customHeight="1">
      <c r="A22" s="241"/>
      <c r="B22" s="32"/>
      <c r="C22" s="27"/>
      <c r="D22" s="27"/>
      <c r="E22" s="27"/>
      <c r="F22" s="494"/>
      <c r="G22" s="27"/>
      <c r="H22" s="486"/>
      <c r="I22" s="27"/>
      <c r="J22" s="500"/>
    </row>
    <row r="23" spans="1:10" ht="12.75" customHeight="1">
      <c r="A23" s="333" t="s">
        <v>479</v>
      </c>
      <c r="B23" s="32"/>
      <c r="C23" s="27"/>
      <c r="D23" s="488"/>
      <c r="E23" s="27"/>
      <c r="F23" s="489"/>
      <c r="G23" s="27"/>
      <c r="H23" s="486"/>
      <c r="I23" s="27"/>
      <c r="J23" s="500"/>
    </row>
    <row r="24" spans="1:10" ht="12.75" customHeight="1">
      <c r="A24" s="353" t="s">
        <v>519</v>
      </c>
      <c r="B24" s="32">
        <f>'Table 3.7-NonPARS RTS Summary'!B8</f>
        <v>52099.32711782217</v>
      </c>
      <c r="C24" s="27"/>
      <c r="D24" s="488">
        <f>F24/B24</f>
        <v>0.5023979674654989</v>
      </c>
      <c r="E24" s="27"/>
      <c r="F24" s="489">
        <f>'Table 3.7-NonPARS RTS Summary'!F8</f>
        <v>26174.596050314005</v>
      </c>
      <c r="G24" s="27"/>
      <c r="H24" s="134">
        <f>B24/$B$38</f>
        <v>0.039646581005348513</v>
      </c>
      <c r="I24" s="27"/>
      <c r="J24" s="500">
        <f>D24*H24</f>
        <v>0.01991836171404335</v>
      </c>
    </row>
    <row r="25" spans="1:10" ht="12.75" customHeight="1">
      <c r="A25" s="353" t="s">
        <v>521</v>
      </c>
      <c r="B25" s="32">
        <f>'Table 3.7-NonPARS RTS Summary'!B14</f>
        <v>28482.184243887477</v>
      </c>
      <c r="C25" s="27"/>
      <c r="D25" s="488">
        <f>F25/B25</f>
        <v>0.4182712722450379</v>
      </c>
      <c r="E25" s="27"/>
      <c r="F25" s="494">
        <f>'Table 3.7-NonPARS RTS Summary'!F14</f>
        <v>11913.279440008388</v>
      </c>
      <c r="G25" s="27"/>
      <c r="H25" s="134">
        <f>B25/$B$38</f>
        <v>0.021674391730258282</v>
      </c>
      <c r="I25" s="27"/>
      <c r="J25" s="500">
        <f>D25*H25</f>
        <v>0.00906577540415246</v>
      </c>
    </row>
    <row r="26" spans="1:10" ht="12.75" customHeight="1">
      <c r="A26" s="353" t="s">
        <v>522</v>
      </c>
      <c r="B26" s="32">
        <f>'Table 3.7-NonPARS RTS Summary'!B20</f>
        <v>7862.796510100412</v>
      </c>
      <c r="C26" s="27"/>
      <c r="D26" s="488">
        <f>F26/B26</f>
        <v>0.10848214358091808</v>
      </c>
      <c r="E26" s="27"/>
      <c r="F26" s="494">
        <f>'Table 3.7-NonPARS RTS Summary'!F20</f>
        <v>852.9730199562545</v>
      </c>
      <c r="G26" s="27"/>
      <c r="H26" s="134">
        <f>B26/$B$38</f>
        <v>0.005983436178768416</v>
      </c>
      <c r="I26" s="27"/>
      <c r="J26" s="500">
        <f>D26*H26</f>
        <v>0.0006490959826524151</v>
      </c>
    </row>
    <row r="27" spans="1:10" ht="12.75" customHeight="1">
      <c r="A27" s="353" t="s">
        <v>102</v>
      </c>
      <c r="B27" s="32">
        <f>SUM(B24:B26)</f>
        <v>88444.30787181006</v>
      </c>
      <c r="C27" s="27"/>
      <c r="D27" s="488">
        <f>F27/B27</f>
        <v>0.4402866554930699</v>
      </c>
      <c r="E27" s="27"/>
      <c r="F27" s="494">
        <f>SUM(F24:F26)</f>
        <v>38940.84851027864</v>
      </c>
      <c r="G27" s="27"/>
      <c r="H27" s="134">
        <f>B27/$B$38</f>
        <v>0.06730440891437521</v>
      </c>
      <c r="I27" s="27"/>
      <c r="J27" s="500">
        <f>SUM(J24:J26)</f>
        <v>0.029633233100848227</v>
      </c>
    </row>
    <row r="28" spans="1:10" ht="4.5" customHeight="1">
      <c r="A28" s="353"/>
      <c r="B28" s="32"/>
      <c r="C28" s="27"/>
      <c r="D28" s="488"/>
      <c r="E28" s="27"/>
      <c r="F28" s="494"/>
      <c r="G28" s="27"/>
      <c r="H28" s="486"/>
      <c r="I28" s="27"/>
      <c r="J28" s="500"/>
    </row>
    <row r="29" spans="1:10" ht="12.75" customHeight="1">
      <c r="A29" s="353" t="s">
        <v>517</v>
      </c>
      <c r="B29" s="32"/>
      <c r="C29" s="27"/>
      <c r="D29" s="488"/>
      <c r="E29" s="27"/>
      <c r="F29" s="494"/>
      <c r="G29" s="27"/>
      <c r="H29" s="486"/>
      <c r="I29" s="27"/>
      <c r="J29" s="500"/>
    </row>
    <row r="30" spans="1:10" ht="12.75" customHeight="1">
      <c r="A30" s="501" t="s">
        <v>320</v>
      </c>
      <c r="B30" s="32">
        <f>'Table 3.7-NonPARS RTS Summary'!B23</f>
        <v>88444.30787181006</v>
      </c>
      <c r="C30" s="27"/>
      <c r="D30" s="488">
        <f>F30/B30</f>
        <v>2.509766177736546</v>
      </c>
      <c r="E30" s="27"/>
      <c r="F30" s="494">
        <f>'Table 3.7-NonPARS RTS Summary'!F23</f>
        <v>221974.53250998704</v>
      </c>
      <c r="G30" s="27"/>
      <c r="H30" s="134">
        <f>B30/$B$38</f>
        <v>0.06730440891437521</v>
      </c>
      <c r="I30" s="27"/>
      <c r="J30" s="500">
        <f>D30*H30</f>
        <v>0.16891832910584897</v>
      </c>
    </row>
    <row r="31" spans="1:10" ht="12.75" customHeight="1">
      <c r="A31" s="501" t="s">
        <v>99</v>
      </c>
      <c r="B31" s="32">
        <f>'Table 3.7-NonPARS RTS Summary'!B24</f>
        <v>9233.070463045551</v>
      </c>
      <c r="C31" s="27"/>
      <c r="D31" s="488">
        <f>F31/B31</f>
        <v>2.3271137589904054</v>
      </c>
      <c r="E31" s="27"/>
      <c r="F31" s="494">
        <f>'Table 3.7-NonPARS RTS Summary'!F24</f>
        <v>21486.405312281215</v>
      </c>
      <c r="G31" s="27"/>
      <c r="H31" s="134">
        <f>B31/$B$38</f>
        <v>0.007026188173474591</v>
      </c>
      <c r="I31" s="27"/>
      <c r="J31" s="500">
        <f>D31*H31</f>
        <v>0.016350739171748386</v>
      </c>
    </row>
    <row r="32" spans="1:10" ht="12.75" customHeight="1">
      <c r="A32" s="501" t="s">
        <v>100</v>
      </c>
      <c r="B32" s="32">
        <f>'Table 3.7-NonPARS RTS Summary'!B25</f>
        <v>6478.11240774241</v>
      </c>
      <c r="C32" s="27"/>
      <c r="D32" s="488">
        <f>F32/B32</f>
        <v>0.8875724776281861</v>
      </c>
      <c r="E32" s="27"/>
      <c r="F32" s="494">
        <f>'Table 3.7-NonPARS RTS Summary'!F25</f>
        <v>5749.794280093825</v>
      </c>
      <c r="G32" s="27"/>
      <c r="H32" s="134">
        <f>B32/$B$38</f>
        <v>0.004929718338866117</v>
      </c>
      <c r="I32" s="27"/>
      <c r="J32" s="500">
        <f>D32*H32</f>
        <v>0.004375482320036506</v>
      </c>
    </row>
    <row r="33" spans="1:10" ht="12.75" customHeight="1">
      <c r="A33" s="502" t="s">
        <v>210</v>
      </c>
      <c r="B33" s="32">
        <f>'Table 3.7-NonPARS RTS Summary'!B26</f>
        <v>1313.4920599922182</v>
      </c>
      <c r="C33" s="27"/>
      <c r="D33" s="488">
        <f>F33/B33</f>
        <v>0.4736101324003771</v>
      </c>
      <c r="E33" s="27"/>
      <c r="F33" s="494">
        <f>'Table 3.7-NonPARS RTS Summary'!F26</f>
        <v>622.0831484397585</v>
      </c>
      <c r="G33" s="27"/>
      <c r="H33" s="134">
        <f>B33/$B$38</f>
        <v>0.0009995420716009508</v>
      </c>
      <c r="I33" s="27"/>
      <c r="J33" s="500">
        <f>D33*H33</f>
        <v>0.0004733932528706735</v>
      </c>
    </row>
    <row r="34" spans="1:10" ht="12.75" customHeight="1">
      <c r="A34" s="503" t="s">
        <v>102</v>
      </c>
      <c r="B34" s="32">
        <f>B30</f>
        <v>88444.30787181006</v>
      </c>
      <c r="C34" s="27"/>
      <c r="D34" s="488">
        <f>F34/B34</f>
        <v>2.8247472478715765</v>
      </c>
      <c r="E34" s="27"/>
      <c r="F34" s="494">
        <f>SUM(F30:F33)</f>
        <v>249832.81525080185</v>
      </c>
      <c r="G34" s="27"/>
      <c r="H34" s="134">
        <f>B34/$B$38</f>
        <v>0.06730440891437521</v>
      </c>
      <c r="I34" s="27"/>
      <c r="J34" s="500">
        <f>SUM(J30:J33)</f>
        <v>0.19011794385050457</v>
      </c>
    </row>
    <row r="35" spans="1:10" ht="4.5" customHeight="1">
      <c r="A35" s="353"/>
      <c r="B35" s="32"/>
      <c r="C35" s="27"/>
      <c r="D35" s="488"/>
      <c r="E35" s="27"/>
      <c r="F35" s="494"/>
      <c r="G35" s="27"/>
      <c r="H35" s="486"/>
      <c r="I35" s="27"/>
      <c r="J35" s="500"/>
    </row>
    <row r="36" spans="1:10" ht="12.75" customHeight="1">
      <c r="A36" s="239" t="s">
        <v>494</v>
      </c>
      <c r="B36" s="32">
        <f>B27</f>
        <v>88444.30787181006</v>
      </c>
      <c r="C36" s="27"/>
      <c r="D36" s="488">
        <f>F36/B36</f>
        <v>3.265033903364646</v>
      </c>
      <c r="E36" s="27"/>
      <c r="F36" s="494">
        <f>SUM(F27,F34)</f>
        <v>288773.6637610805</v>
      </c>
      <c r="G36" s="27"/>
      <c r="H36" s="134">
        <f>B36/$B$38</f>
        <v>0.06730440891437521</v>
      </c>
      <c r="I36" s="27"/>
      <c r="J36" s="500">
        <f>J27+J34</f>
        <v>0.2197511769513528</v>
      </c>
    </row>
    <row r="37" spans="1:10" ht="12.75" customHeight="1">
      <c r="A37" s="353"/>
      <c r="B37" s="32"/>
      <c r="C37" s="27"/>
      <c r="D37" s="488"/>
      <c r="E37" s="27"/>
      <c r="F37" s="494"/>
      <c r="G37" s="27"/>
      <c r="H37" s="486"/>
      <c r="I37" s="27"/>
      <c r="J37" s="500"/>
    </row>
    <row r="38" spans="1:10" ht="12.75" customHeight="1">
      <c r="A38" s="480" t="s">
        <v>269</v>
      </c>
      <c r="B38" s="505">
        <f>SUM(B21,B36)</f>
        <v>1314093.8208718104</v>
      </c>
      <c r="C38" s="506"/>
      <c r="D38" s="507"/>
      <c r="E38" s="506"/>
      <c r="F38" s="508">
        <f>SUM(F21,F36)</f>
        <v>859911.0190395177</v>
      </c>
      <c r="G38" s="506"/>
      <c r="H38" s="509"/>
      <c r="I38" s="506"/>
      <c r="J38" s="507">
        <f>SUM(J21,J36)</f>
        <v>0.6543756658630556</v>
      </c>
    </row>
    <row r="39" spans="1:10" ht="12.75" customHeight="1">
      <c r="A39" s="491"/>
      <c r="B39" s="32"/>
      <c r="C39" s="27"/>
      <c r="D39" s="27"/>
      <c r="E39" s="27"/>
      <c r="F39" s="27"/>
      <c r="G39" s="27"/>
      <c r="H39" s="27"/>
      <c r="I39" s="27"/>
      <c r="J39" s="27"/>
    </row>
    <row r="40" spans="1:10" ht="12.75" customHeight="1" hidden="1">
      <c r="A40" s="491"/>
      <c r="B40" s="492"/>
      <c r="C40" s="151"/>
      <c r="D40" s="151"/>
      <c r="E40" s="151"/>
      <c r="F40" s="485"/>
      <c r="G40" s="151"/>
      <c r="H40" s="486"/>
      <c r="I40" s="151"/>
      <c r="J40" s="151"/>
    </row>
    <row r="41" spans="1:11" ht="12.75" customHeight="1" hidden="1">
      <c r="A41" s="14" t="s">
        <v>191</v>
      </c>
      <c r="B41" s="143">
        <v>0</v>
      </c>
      <c r="C41" s="151"/>
      <c r="D41" s="492"/>
      <c r="E41" s="151"/>
      <c r="F41" s="485"/>
      <c r="G41" s="482" t="s">
        <v>311</v>
      </c>
      <c r="H41" s="504">
        <f>SUM('Table 3.14-Route UAA'!J99:J100,'Table 3.14-Route UAA'!J107)</f>
        <v>79265.9985819683</v>
      </c>
      <c r="I41" s="151"/>
      <c r="J41" s="492">
        <f>'Table 3.6-PARS RTS Summary'!J71+'Table 3.7-NonPARS RTS Summary'!J32</f>
        <v>79265.9985819683</v>
      </c>
      <c r="K41" s="143">
        <f aca="true" t="shared" si="3" ref="K41:K48">H41-J41</f>
        <v>0</v>
      </c>
    </row>
    <row r="42" spans="1:11" ht="12.75" customHeight="1" hidden="1">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33890.15993531485</v>
      </c>
      <c r="I42" s="151"/>
      <c r="J42" s="492">
        <f>'Table 3.6-PARS RTS Summary'!J72+'Table 3.7-NonPARS RTS Summary'!J33</f>
        <v>33890.15993531485</v>
      </c>
      <c r="K42" s="143">
        <f t="shared" si="3"/>
        <v>0</v>
      </c>
    </row>
    <row r="43" spans="1:11" ht="12.75" customHeight="1" hidden="1">
      <c r="A43" s="487"/>
      <c r="B43" s="143">
        <v>0</v>
      </c>
      <c r="C43" s="27"/>
      <c r="D43" s="488"/>
      <c r="E43" s="27"/>
      <c r="F43" s="485"/>
      <c r="G43" s="46" t="s">
        <v>313</v>
      </c>
      <c r="H43" s="504">
        <f>SUM('Table 3.20-CFS Non-CIOSS'!H14,'Table 3.20-CFS Non-CIOSS'!H50,'Table 3.20-CFS Non-CIOSS'!H71,'Table 3.21-CFS CIOSS Rejs'!H14,'Table 3.21-CFS CIOSS Rejs'!H71)</f>
        <v>13278.56459641507</v>
      </c>
      <c r="I43" s="151"/>
      <c r="J43" s="492">
        <f>'Table 3.6-PARS RTS Summary'!J73+'Table 3.7-NonPARS RTS Summary'!J34</f>
        <v>13278.564596415072</v>
      </c>
      <c r="K43" s="143">
        <f t="shared" si="3"/>
        <v>0</v>
      </c>
    </row>
    <row r="44" spans="1:11" ht="12.75" customHeight="1" hidden="1">
      <c r="A44" s="487"/>
      <c r="B44" s="32"/>
      <c r="C44" s="27"/>
      <c r="D44" s="488"/>
      <c r="E44" s="27"/>
      <c r="F44" s="485"/>
      <c r="G44" s="483" t="s">
        <v>502</v>
      </c>
      <c r="H44" s="504">
        <f>SUM('Table 3.23-CIOSS Summary'!I5,'Table 3.23-CIOSS Summary'!I9,'Table 3.23-CIOSS Summary'!I12)</f>
        <v>-8072.799953931891</v>
      </c>
      <c r="I44" s="151"/>
      <c r="J44" s="492">
        <f>'Table 3.6-PARS RTS Summary'!J74</f>
        <v>-8072.799953931894</v>
      </c>
      <c r="K44" s="143">
        <f t="shared" si="3"/>
        <v>0</v>
      </c>
    </row>
    <row r="45" spans="1:11" ht="12.75" customHeight="1" hidden="1">
      <c r="A45" s="499"/>
      <c r="B45" s="32"/>
      <c r="C45" s="27"/>
      <c r="D45" s="488"/>
      <c r="E45" s="27"/>
      <c r="F45" s="485"/>
      <c r="G45" s="483" t="s">
        <v>503</v>
      </c>
      <c r="H45" s="504">
        <f>SUM('Table 3.25-REC Summary'!K5,'Table 3.25-REC Summary'!K9,'Table 3.25-REC Summary'!K12)</f>
        <v>3588.4220985899738</v>
      </c>
      <c r="I45" s="151"/>
      <c r="J45" s="492">
        <f>'Table 3.6-PARS RTS Summary'!J75</f>
        <v>3588.4220985899747</v>
      </c>
      <c r="K45" s="143">
        <f t="shared" si="3"/>
        <v>0</v>
      </c>
    </row>
    <row r="46" spans="1:11" ht="12.75" customHeight="1" hidden="1">
      <c r="A46" s="491"/>
      <c r="B46" s="492"/>
      <c r="C46" s="151"/>
      <c r="D46" s="488"/>
      <c r="E46" s="151"/>
      <c r="F46" s="489"/>
      <c r="G46" s="67" t="s">
        <v>518</v>
      </c>
      <c r="H46" s="504">
        <f>'Table 3.6-PARS RTS Summary'!H76+'Table 3.7-NonPARS RTS Summary'!H35</f>
        <v>694065.8638928665</v>
      </c>
      <c r="I46" s="151"/>
      <c r="J46" s="492">
        <f>'Table 3.6-PARS RTS Summary'!J76+'Table 3.7-NonPARS RTS Summary'!J35</f>
        <v>694065.8638928666</v>
      </c>
      <c r="K46" s="143">
        <f t="shared" si="3"/>
        <v>0</v>
      </c>
    </row>
    <row r="47" spans="1:11" ht="12.75" customHeight="1" hidden="1">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43894.80988829487</v>
      </c>
      <c r="I47" s="151"/>
      <c r="J47" s="492">
        <f>'Table 3.6-PARS RTS Summary'!J77+'Table 3.7-NonPARS RTS Summary'!J36</f>
        <v>43894.80988829487</v>
      </c>
      <c r="K47" s="143">
        <f t="shared" si="3"/>
        <v>0</v>
      </c>
    </row>
    <row r="48" spans="1:11" ht="12.75" customHeight="1" hidden="1">
      <c r="A48" s="493"/>
      <c r="B48" s="492"/>
      <c r="C48" s="151"/>
      <c r="D48" s="488"/>
      <c r="E48" s="151"/>
      <c r="F48" s="489"/>
      <c r="G48" s="46" t="s">
        <v>314</v>
      </c>
      <c r="H48" s="492">
        <f>SUM(H41:H47)</f>
        <v>859911.0190395177</v>
      </c>
      <c r="I48" s="151"/>
      <c r="J48" s="492">
        <f>SUM(J41:J47)</f>
        <v>859911.0190395179</v>
      </c>
      <c r="K48" s="143">
        <f t="shared" si="3"/>
        <v>0</v>
      </c>
    </row>
    <row r="49" spans="1:10" ht="12.75" customHeight="1">
      <c r="A49" s="493"/>
      <c r="B49" s="492"/>
      <c r="C49" s="151"/>
      <c r="D49" s="488"/>
      <c r="E49" s="151"/>
      <c r="F49" s="489"/>
      <c r="G49" s="151"/>
      <c r="H49" s="486"/>
      <c r="I49" s="151"/>
      <c r="J49" s="151"/>
    </row>
    <row r="50" spans="1:10" ht="12.75">
      <c r="A50" s="317"/>
      <c r="B50" s="317"/>
      <c r="C50" s="317"/>
      <c r="D50" s="317"/>
      <c r="E50" s="317"/>
      <c r="F50" s="317"/>
      <c r="G50" s="27"/>
      <c r="H50" s="240"/>
      <c r="I50" s="27"/>
      <c r="J50" s="27"/>
    </row>
    <row r="51" ht="12.75">
      <c r="A51" s="284" t="s">
        <v>235</v>
      </c>
    </row>
    <row r="52" spans="1:4" ht="12.75">
      <c r="A52" s="241" t="s">
        <v>603</v>
      </c>
      <c r="D52" s="12"/>
    </row>
    <row r="53" spans="1:4" ht="12.75">
      <c r="A53" s="241" t="s">
        <v>604</v>
      </c>
      <c r="D53" s="12"/>
    </row>
    <row r="54" spans="1:4" ht="12.75">
      <c r="A54" s="284"/>
      <c r="D54" s="12"/>
    </row>
    <row r="55" ht="12.75">
      <c r="A55" s="241"/>
    </row>
    <row r="56" ht="12.75">
      <c r="A56" s="241"/>
    </row>
  </sheetData>
  <sheetProtection/>
  <printOptions horizontalCentered="1"/>
  <pageMargins left="0.75" right="0.75" top="1" bottom="1" header="0.5" footer="0.5"/>
  <pageSetup fitToHeight="1" fitToWidth="1" horizontalDpi="600" verticalDpi="600" orientation="landscape" scale="87"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sheetPr codeName="Sheet13"/>
  <dimension ref="A1:L9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11.7109375" style="0" customWidth="1"/>
    <col min="9" max="9" width="3.421875" style="0" customWidth="1"/>
    <col min="10" max="10" width="11.7109375" style="0" customWidth="1"/>
  </cols>
  <sheetData>
    <row r="1" spans="1:10" s="13" customFormat="1" ht="15.75" customHeight="1">
      <c r="A1" s="157" t="s">
        <v>18</v>
      </c>
      <c r="B1" s="19"/>
      <c r="C1" s="19"/>
      <c r="D1" s="19"/>
      <c r="E1" s="19"/>
      <c r="F1" s="19"/>
      <c r="G1" s="19"/>
      <c r="H1" s="19"/>
      <c r="I1" s="19"/>
      <c r="J1" s="19"/>
    </row>
    <row r="2" spans="1:10" s="13" customFormat="1" ht="15.75">
      <c r="A2" s="158" t="s">
        <v>787</v>
      </c>
      <c r="B2" s="19"/>
      <c r="C2" s="19"/>
      <c r="D2" s="19"/>
      <c r="E2" s="19"/>
      <c r="F2" s="19"/>
      <c r="G2" s="19"/>
      <c r="H2" s="19"/>
      <c r="I2" s="19"/>
      <c r="J2" s="19"/>
    </row>
    <row r="3" spans="2:10" ht="25.5" customHeight="1">
      <c r="B3" s="168" t="s">
        <v>109</v>
      </c>
      <c r="C3" s="168"/>
      <c r="D3" s="169" t="s">
        <v>104</v>
      </c>
      <c r="E3" s="169"/>
      <c r="F3" s="168" t="s">
        <v>110</v>
      </c>
      <c r="G3" s="168"/>
      <c r="H3" s="170" t="s">
        <v>97</v>
      </c>
      <c r="I3" s="170"/>
      <c r="J3" s="171" t="s">
        <v>105</v>
      </c>
    </row>
    <row r="4" ht="12.75">
      <c r="A4" s="333" t="s">
        <v>778</v>
      </c>
    </row>
    <row r="5" spans="1:10" ht="12.75">
      <c r="A5" s="353" t="s">
        <v>481</v>
      </c>
      <c r="B5" s="32">
        <f>'Table 3.24-CIOSS Detail'!E12</f>
        <v>21809.752596610837</v>
      </c>
      <c r="C5" s="241" t="s">
        <v>244</v>
      </c>
      <c r="D5" s="488">
        <f>F5/B5</f>
        <v>0.061696650139987</v>
      </c>
      <c r="E5" s="27"/>
      <c r="F5" s="489">
        <f>'Table 3.24-CIOSS Detail'!K12</f>
        <v>1345.5886755927718</v>
      </c>
      <c r="G5" s="241" t="s">
        <v>244</v>
      </c>
      <c r="H5" s="358">
        <f>B5/$B$68</f>
        <v>0.01779444479460323</v>
      </c>
      <c r="J5" s="551">
        <f>D5*H5</f>
        <v>0.0010978576349279484</v>
      </c>
    </row>
    <row r="6" spans="1:10" ht="12.75">
      <c r="A6" s="353" t="s">
        <v>95</v>
      </c>
      <c r="B6" s="32">
        <f>'Table 3.28-REC Volume'!G12</f>
        <v>8287.705986712119</v>
      </c>
      <c r="C6" s="241" t="s">
        <v>582</v>
      </c>
      <c r="D6" s="488">
        <f>F6/B6</f>
        <v>0</v>
      </c>
      <c r="E6" s="27"/>
      <c r="F6" s="489">
        <v>0</v>
      </c>
      <c r="H6" s="358">
        <f>B6/$B$68</f>
        <v>0.006761889021949227</v>
      </c>
      <c r="J6" s="551">
        <f>D6*H6</f>
        <v>0</v>
      </c>
    </row>
    <row r="7" spans="1:10" ht="12.75">
      <c r="A7" s="239" t="s">
        <v>499</v>
      </c>
      <c r="B7" s="32">
        <f>'Table 3.28-REC Volume'!H12</f>
        <v>12431.55898006818</v>
      </c>
      <c r="C7" s="241" t="s">
        <v>582</v>
      </c>
      <c r="D7" s="488">
        <f>F7/B7</f>
        <v>0.07657497975006622</v>
      </c>
      <c r="E7" s="27"/>
      <c r="F7" s="489">
        <f>'Table 3.26-REC Detail NonACS'!K12</f>
        <v>951.9463771604746</v>
      </c>
      <c r="G7" s="12" t="s">
        <v>590</v>
      </c>
      <c r="H7" s="358">
        <f>B7/$B$68</f>
        <v>0.010142833532923843</v>
      </c>
      <c r="J7" s="551">
        <f>D7*H7</f>
        <v>0.0007766872723919358</v>
      </c>
    </row>
    <row r="8" spans="1:10" ht="12.75">
      <c r="A8" s="239" t="s">
        <v>677</v>
      </c>
      <c r="B8" s="32">
        <v>0</v>
      </c>
      <c r="C8" s="27"/>
      <c r="D8" s="488">
        <v>0</v>
      </c>
      <c r="E8" s="27"/>
      <c r="F8" s="494">
        <v>0</v>
      </c>
      <c r="H8" s="358">
        <f>B8/$B$68</f>
        <v>0</v>
      </c>
      <c r="J8" s="551">
        <f>D8*H8</f>
        <v>0</v>
      </c>
    </row>
    <row r="9" spans="1:12" ht="12.75">
      <c r="A9" s="239" t="s">
        <v>488</v>
      </c>
      <c r="B9" s="32">
        <v>1090.4876298305462</v>
      </c>
      <c r="C9" s="241" t="s">
        <v>586</v>
      </c>
      <c r="D9" s="488">
        <f>'Table 3.18-Nixie UAA'!J33</f>
        <v>0.1296812110922102</v>
      </c>
      <c r="E9" s="12" t="s">
        <v>587</v>
      </c>
      <c r="F9" s="489">
        <f>B9*D9</f>
        <v>141.41575651749903</v>
      </c>
      <c r="H9" s="358">
        <f>B9/$B$68</f>
        <v>0.000889722239730165</v>
      </c>
      <c r="J9" s="551">
        <f>D9*H9</f>
        <v>0.00011538025758388158</v>
      </c>
      <c r="K9" s="6"/>
      <c r="L9" s="6"/>
    </row>
    <row r="10" spans="1:12" ht="12.75">
      <c r="A10" s="82" t="s">
        <v>102</v>
      </c>
      <c r="B10" s="32">
        <f>B5</f>
        <v>21809.752596610837</v>
      </c>
      <c r="C10" s="27"/>
      <c r="D10" s="488">
        <f>F10/B10</f>
        <v>0.11182844915213529</v>
      </c>
      <c r="E10" s="27"/>
      <c r="F10" s="494">
        <f>SUM(F5:F9)</f>
        <v>2438.9508092707456</v>
      </c>
      <c r="H10" s="142"/>
      <c r="J10" s="22">
        <f>SUM(J5:J9)</f>
        <v>0.001989925164903766</v>
      </c>
      <c r="L10" s="6"/>
    </row>
    <row r="11" spans="1:12" ht="4.5" customHeight="1">
      <c r="A11" s="82"/>
      <c r="B11" s="32"/>
      <c r="C11" s="27"/>
      <c r="D11" s="27"/>
      <c r="E11" s="27"/>
      <c r="F11" s="494"/>
      <c r="H11" s="142"/>
      <c r="L11" s="6"/>
    </row>
    <row r="12" spans="1:12" ht="12.75">
      <c r="A12" s="333" t="s">
        <v>605</v>
      </c>
      <c r="B12" s="32"/>
      <c r="C12" s="27"/>
      <c r="D12" s="27"/>
      <c r="E12" s="27"/>
      <c r="F12" s="494"/>
      <c r="H12" s="142"/>
      <c r="K12" s="165"/>
      <c r="L12" s="6"/>
    </row>
    <row r="13" spans="1:12" ht="12.75">
      <c r="A13" s="353" t="s">
        <v>481</v>
      </c>
      <c r="B13" s="32">
        <f>SUM('Table 3.24-CIOSS Detail'!E5,'Table 3.24-CIOSS Detail'!E9)</f>
        <v>205191.4436368581</v>
      </c>
      <c r="C13" s="241" t="s">
        <v>244</v>
      </c>
      <c r="D13" s="488">
        <f>F13/B13</f>
        <v>0.06169665013998697</v>
      </c>
      <c r="E13" s="27"/>
      <c r="F13" s="489">
        <f>SUM('Table 3.24-CIOSS Detail'!K5,'Table 3.24-CIOSS Detail'!K9)</f>
        <v>12659.62470978209</v>
      </c>
      <c r="G13" s="241" t="s">
        <v>244</v>
      </c>
      <c r="H13" s="358">
        <f>B13/$B$68</f>
        <v>0.1674144536920793</v>
      </c>
      <c r="J13" s="551">
        <f>D13*H13</f>
        <v>0.010328910977817267</v>
      </c>
      <c r="K13" s="165"/>
      <c r="L13" s="6"/>
    </row>
    <row r="14" spans="1:12" ht="12.75">
      <c r="A14" s="353" t="s">
        <v>95</v>
      </c>
      <c r="B14" s="32">
        <f>SUM('Table 3.28-REC Volume'!G5,'Table 3.28-REC Volume'!G9)</f>
        <v>78026.21829831264</v>
      </c>
      <c r="C14" s="241" t="s">
        <v>582</v>
      </c>
      <c r="D14" s="488">
        <f>F14/B14</f>
        <v>0</v>
      </c>
      <c r="E14" s="27"/>
      <c r="F14" s="489">
        <v>0</v>
      </c>
      <c r="H14" s="358">
        <f>B14/$B$68</f>
        <v>0.0636611180200523</v>
      </c>
      <c r="J14" s="551">
        <f>D14*H14</f>
        <v>0</v>
      </c>
      <c r="K14" s="165"/>
      <c r="L14" s="6"/>
    </row>
    <row r="15" spans="1:12" ht="12.75">
      <c r="A15" s="239" t="s">
        <v>499</v>
      </c>
      <c r="B15" s="32">
        <f>SUM('Table 3.28-REC Volume'!H5)</f>
        <v>114782.14156624273</v>
      </c>
      <c r="C15" s="241" t="s">
        <v>582</v>
      </c>
      <c r="D15" s="488">
        <f>F15/B15</f>
        <v>0.07657497975006623</v>
      </c>
      <c r="E15" s="27"/>
      <c r="F15" s="494">
        <f>SUM('Table 3.26-REC Detail NonACS'!K5)</f>
        <v>8789.440166104272</v>
      </c>
      <c r="G15" s="12" t="s">
        <v>590</v>
      </c>
      <c r="H15" s="358">
        <f>B15/$B$68</f>
        <v>0.09365005276695501</v>
      </c>
      <c r="J15" s="551">
        <f>D15*H15</f>
        <v>0.007171250894222214</v>
      </c>
      <c r="K15" s="165"/>
      <c r="L15" s="6"/>
    </row>
    <row r="16" spans="1:12" ht="12.75">
      <c r="A16" s="239" t="s">
        <v>677</v>
      </c>
      <c r="B16" s="32">
        <f>SUM('Table 3.28-REC Volume'!H9)</f>
        <v>2257.1858812262312</v>
      </c>
      <c r="C16" s="241" t="s">
        <v>582</v>
      </c>
      <c r="D16" s="488">
        <f>F16/B16</f>
        <v>0.038287489875033116</v>
      </c>
      <c r="E16" s="27"/>
      <c r="F16" s="494">
        <f>SUM('Table 3.26-REC Detail NonACS'!K9)</f>
        <v>86.42198157351703</v>
      </c>
      <c r="G16" s="12" t="s">
        <v>590</v>
      </c>
      <c r="H16" s="358">
        <f>B16/$B$68</f>
        <v>0.0018416242631234421</v>
      </c>
      <c r="J16" s="551">
        <f>D16*H16</f>
        <v>7.051117032795411E-05</v>
      </c>
      <c r="L16" s="6"/>
    </row>
    <row r="17" spans="1:12" ht="12.75">
      <c r="A17" s="239" t="s">
        <v>489</v>
      </c>
      <c r="B17" s="32">
        <v>10125.897891076545</v>
      </c>
      <c r="C17" s="241" t="s">
        <v>591</v>
      </c>
      <c r="D17" s="488">
        <f>'Table 3.21-CFS CIOSS Rejs'!I13</f>
        <v>0.2821015537287989</v>
      </c>
      <c r="E17" s="241" t="s">
        <v>592</v>
      </c>
      <c r="F17" s="494">
        <f>B17*D17</f>
        <v>2856.5315279718616</v>
      </c>
      <c r="H17" s="358">
        <f>B17/$B$68</f>
        <v>0.0082616586419486</v>
      </c>
      <c r="J17" s="551">
        <f>D17*H17</f>
        <v>0.0023306267392706587</v>
      </c>
      <c r="L17" s="6"/>
    </row>
    <row r="18" spans="1:12" ht="12.75">
      <c r="A18" s="82" t="s">
        <v>102</v>
      </c>
      <c r="B18" s="32">
        <f>B13</f>
        <v>205191.4436368581</v>
      </c>
      <c r="C18" s="27"/>
      <c r="D18" s="488">
        <f>F18/B18</f>
        <v>0.11887444209710823</v>
      </c>
      <c r="E18" s="27"/>
      <c r="F18" s="494">
        <f>SUM(F13:F17)</f>
        <v>24392.018385431737</v>
      </c>
      <c r="H18" s="142"/>
      <c r="J18" s="22">
        <f>SUM(J13:J17)</f>
        <v>0.019901299781638095</v>
      </c>
      <c r="L18" s="6"/>
    </row>
    <row r="19" spans="2:12" ht="4.5" customHeight="1">
      <c r="B19" s="27"/>
      <c r="C19" s="27"/>
      <c r="D19" s="27"/>
      <c r="E19" s="27"/>
      <c r="F19" s="27"/>
      <c r="L19" s="6"/>
    </row>
    <row r="20" spans="1:12" ht="12.75">
      <c r="A20" s="15" t="s">
        <v>606</v>
      </c>
      <c r="B20" s="27"/>
      <c r="C20" s="27"/>
      <c r="D20" s="27"/>
      <c r="E20" s="27"/>
      <c r="F20" s="27"/>
      <c r="L20" s="6"/>
    </row>
    <row r="21" spans="1:12" ht="12.75">
      <c r="A21" s="353" t="s">
        <v>307</v>
      </c>
      <c r="B21" s="32">
        <f>'Table 3.16-Route UAA PARS'!D107</f>
        <v>22799.04929298423</v>
      </c>
      <c r="C21" s="490" t="s">
        <v>593</v>
      </c>
      <c r="D21" s="488">
        <f aca="true" t="shared" si="0" ref="D21:D26">F21/B21</f>
        <v>0.07089796248032187</v>
      </c>
      <c r="E21" s="490"/>
      <c r="F21" s="489">
        <f>'Table 3.16-Route UAA PARS'!J107</f>
        <v>1616.4061413610048</v>
      </c>
      <c r="G21" s="490" t="s">
        <v>593</v>
      </c>
      <c r="H21" s="358">
        <f aca="true" t="shared" si="1" ref="H21:H27">B21/$B$68</f>
        <v>0.018601605965786586</v>
      </c>
      <c r="J21" s="551">
        <f aca="true" t="shared" si="2" ref="J21:J27">D21*H21</f>
        <v>0.001318815961836069</v>
      </c>
      <c r="L21" s="6"/>
    </row>
    <row r="22" spans="1:12" ht="12.75">
      <c r="A22" s="353" t="s">
        <v>495</v>
      </c>
      <c r="B22" s="32">
        <f>'Table 3.18-Nixie UAA'!D7</f>
        <v>22799.049292984233</v>
      </c>
      <c r="C22" s="12" t="s">
        <v>587</v>
      </c>
      <c r="D22" s="488">
        <f t="shared" si="0"/>
        <v>0.006602477884066478</v>
      </c>
      <c r="E22" s="490"/>
      <c r="F22" s="489">
        <f>'Table 3.18-Nixie UAA'!I7</f>
        <v>150.53021873466986</v>
      </c>
      <c r="G22" s="12" t="s">
        <v>587</v>
      </c>
      <c r="H22" s="358">
        <f t="shared" si="1"/>
        <v>0.01860160596578659</v>
      </c>
      <c r="J22" s="551">
        <f t="shared" si="2"/>
        <v>0.00012281669199722502</v>
      </c>
      <c r="L22" s="6"/>
    </row>
    <row r="23" spans="1:12" ht="12.75">
      <c r="A23" s="353" t="s">
        <v>481</v>
      </c>
      <c r="B23" s="32">
        <f>SUM('Table 3.24-CIOSS Detail'!E20,'Table 3.24-CIOSS Detail'!E24)</f>
        <v>22799.049292984233</v>
      </c>
      <c r="C23" s="241" t="s">
        <v>244</v>
      </c>
      <c r="D23" s="488">
        <f t="shared" si="0"/>
        <v>0.04645492934057992</v>
      </c>
      <c r="E23" s="490"/>
      <c r="F23" s="489">
        <f>SUM('Table 3.24-CIOSS Detail'!K20,'Table 3.24-CIOSS Detail'!K24)</f>
        <v>1059.1282239379811</v>
      </c>
      <c r="G23" s="241" t="s">
        <v>244</v>
      </c>
      <c r="H23" s="358">
        <f t="shared" si="1"/>
        <v>0.01860160596578659</v>
      </c>
      <c r="J23" s="551">
        <f t="shared" si="2"/>
        <v>0.0008641362907619259</v>
      </c>
      <c r="L23" s="6"/>
    </row>
    <row r="24" spans="1:12" ht="12.75">
      <c r="A24" s="353" t="s">
        <v>95</v>
      </c>
      <c r="B24" s="32">
        <f>SUM('Table 3.28-REC Volume'!G20,'Table 3.28-REC Volume'!G24)</f>
        <v>4985.008391281084</v>
      </c>
      <c r="C24" s="241" t="s">
        <v>582</v>
      </c>
      <c r="D24" s="488">
        <f t="shared" si="0"/>
        <v>0</v>
      </c>
      <c r="E24" s="27"/>
      <c r="F24" s="489">
        <v>0</v>
      </c>
      <c r="H24" s="358">
        <f t="shared" si="1"/>
        <v>0.004067238095725563</v>
      </c>
      <c r="J24" s="551">
        <f t="shared" si="2"/>
        <v>0</v>
      </c>
      <c r="L24" s="6"/>
    </row>
    <row r="25" spans="1:12" ht="12.75">
      <c r="A25" s="239" t="s">
        <v>499</v>
      </c>
      <c r="B25" s="32">
        <f>SUM('Table 3.28-REC Volume'!H20)</f>
        <v>16367.083149260534</v>
      </c>
      <c r="C25" s="241" t="s">
        <v>582</v>
      </c>
      <c r="D25" s="488">
        <f t="shared" si="0"/>
        <v>0.07657497975006623</v>
      </c>
      <c r="E25" s="490"/>
      <c r="F25" s="489">
        <f>SUM('Table 3.26-REC Detail NonACS'!K20)</f>
        <v>1253.3090607222757</v>
      </c>
      <c r="G25" s="12" t="s">
        <v>590</v>
      </c>
      <c r="H25" s="358">
        <f t="shared" si="1"/>
        <v>0.013353803820473211</v>
      </c>
      <c r="J25" s="551">
        <f t="shared" si="2"/>
        <v>0.0010225672571390933</v>
      </c>
      <c r="L25" s="6"/>
    </row>
    <row r="26" spans="1:12" ht="12.75" customHeight="1">
      <c r="A26" s="239" t="s">
        <v>677</v>
      </c>
      <c r="B26" s="32">
        <f>SUM('Table 3.28-REC Volume'!H24)</f>
        <v>321.85798676744406</v>
      </c>
      <c r="C26" s="241" t="s">
        <v>582</v>
      </c>
      <c r="D26" s="488">
        <f t="shared" si="0"/>
        <v>0.038287489875033116</v>
      </c>
      <c r="E26" s="490"/>
      <c r="F26" s="489">
        <f>SUM('Table 3.26-REC Detail NonACS'!K24)</f>
        <v>12.323134409557056</v>
      </c>
      <c r="G26" s="12" t="s">
        <v>590</v>
      </c>
      <c r="H26" s="358">
        <f t="shared" si="1"/>
        <v>0.00026260197826019453</v>
      </c>
      <c r="J26" s="551">
        <f t="shared" si="2"/>
        <v>1.0054370583800865E-05</v>
      </c>
      <c r="L26" s="6"/>
    </row>
    <row r="27" spans="1:12" ht="12.75">
      <c r="A27" s="239" t="s">
        <v>489</v>
      </c>
      <c r="B27" s="32">
        <f>'Table 3.21-CFS CIOSS Rejs'!B14-B17</f>
        <v>1125.0997656751715</v>
      </c>
      <c r="C27" s="490" t="s">
        <v>594</v>
      </c>
      <c r="D27" s="488">
        <f>'Table 3.21-CFS CIOSS Rejs'!I13</f>
        <v>0.2821015537287989</v>
      </c>
      <c r="E27" s="241" t="s">
        <v>592</v>
      </c>
      <c r="F27" s="494">
        <f>B27*D27</f>
        <v>317.39239199687347</v>
      </c>
      <c r="H27" s="358">
        <f t="shared" si="1"/>
        <v>0.0009179620713276221</v>
      </c>
      <c r="J27" s="551">
        <f t="shared" si="2"/>
        <v>0.0002589585265856287</v>
      </c>
      <c r="L27" s="6"/>
    </row>
    <row r="28" spans="1:12" ht="12.75" customHeight="1">
      <c r="A28" s="100" t="s">
        <v>102</v>
      </c>
      <c r="B28" s="492">
        <f>B21</f>
        <v>22799.04929298423</v>
      </c>
      <c r="C28" s="151"/>
      <c r="D28" s="488">
        <f>F28/B28</f>
        <v>0.19338916787723845</v>
      </c>
      <c r="E28" s="151"/>
      <c r="F28" s="485">
        <f>SUM(F21:F27)</f>
        <v>4409.089171162362</v>
      </c>
      <c r="G28" s="18"/>
      <c r="H28" s="142"/>
      <c r="I28" s="18"/>
      <c r="J28" s="552">
        <f>SUM(J21:J27)</f>
        <v>0.0035973490989037425</v>
      </c>
      <c r="L28" s="6"/>
    </row>
    <row r="29" spans="1:12" ht="4.5" customHeight="1">
      <c r="A29" s="100"/>
      <c r="B29" s="492"/>
      <c r="C29" s="151"/>
      <c r="D29" s="151"/>
      <c r="E29" s="151"/>
      <c r="F29" s="485"/>
      <c r="G29" s="18"/>
      <c r="H29" s="142"/>
      <c r="I29" s="18"/>
      <c r="J29" s="18"/>
      <c r="L29" s="6"/>
    </row>
    <row r="30" spans="1:12" ht="12.75" customHeight="1">
      <c r="A30" s="15" t="s">
        <v>607</v>
      </c>
      <c r="B30" s="492"/>
      <c r="C30" s="151"/>
      <c r="D30" s="151"/>
      <c r="E30" s="151"/>
      <c r="F30" s="485"/>
      <c r="G30" s="18"/>
      <c r="H30" s="142"/>
      <c r="I30" s="18"/>
      <c r="J30" s="18"/>
      <c r="L30" s="6"/>
    </row>
    <row r="31" spans="1:12" ht="12.75" customHeight="1">
      <c r="A31" s="353" t="s">
        <v>307</v>
      </c>
      <c r="B31" s="492">
        <f>'Table 3.16-Route UAA PARS'!D99</f>
        <v>889717.6605400663</v>
      </c>
      <c r="C31" s="490" t="s">
        <v>593</v>
      </c>
      <c r="D31" s="488">
        <f>F31/B31</f>
        <v>0.07111182210715314</v>
      </c>
      <c r="E31" s="151"/>
      <c r="F31" s="489">
        <f>'Table 3.16-Route UAA PARS'!J99</f>
        <v>63269.444001917655</v>
      </c>
      <c r="G31" s="490" t="s">
        <v>593</v>
      </c>
      <c r="H31" s="358">
        <f aca="true" t="shared" si="3" ref="H31:H37">B31/$B$68</f>
        <v>0.7259152401262906</v>
      </c>
      <c r="J31" s="551">
        <f aca="true" t="shared" si="4" ref="J31:J37">D31*H31</f>
        <v>0.05162115542073213</v>
      </c>
      <c r="L31" s="6"/>
    </row>
    <row r="32" spans="1:12" ht="12.75" customHeight="1">
      <c r="A32" s="353" t="s">
        <v>495</v>
      </c>
      <c r="B32" s="492">
        <f>'Table 3.18-Nixie UAA'!D9</f>
        <v>889717.6605400661</v>
      </c>
      <c r="C32" s="12" t="s">
        <v>587</v>
      </c>
      <c r="D32" s="488">
        <f>F32/B32</f>
        <v>0.007891416449377277</v>
      </c>
      <c r="E32" s="151"/>
      <c r="F32" s="489">
        <f>'Table 3.18-Nixie UAA'!I9</f>
        <v>7021.132581687345</v>
      </c>
      <c r="G32" s="12" t="s">
        <v>587</v>
      </c>
      <c r="H32" s="358">
        <f t="shared" si="3"/>
        <v>0.7259152401262904</v>
      </c>
      <c r="J32" s="551">
        <f t="shared" si="4"/>
        <v>0.005728499466786264</v>
      </c>
      <c r="L32" s="6"/>
    </row>
    <row r="33" spans="1:12" ht="12.75" customHeight="1">
      <c r="A33" s="353" t="s">
        <v>481</v>
      </c>
      <c r="B33" s="492">
        <f>SUM('Table 3.24-CIOSS Detail'!E27,'Table 3.24-CIOSS Detail'!E34)</f>
        <v>889717.6605400664</v>
      </c>
      <c r="C33" s="241" t="s">
        <v>244</v>
      </c>
      <c r="D33" s="488">
        <f>F33/B33</f>
        <v>-0.029173863236835185</v>
      </c>
      <c r="E33" s="151"/>
      <c r="F33" s="489">
        <f>SUM('Table 3.24-CIOSS Detail'!K27,'Table 3.24-CIOSS Detail'!K34)</f>
        <v>-25956.50134799285</v>
      </c>
      <c r="G33" s="241" t="s">
        <v>244</v>
      </c>
      <c r="H33" s="358">
        <f t="shared" si="3"/>
        <v>0.7259152401262907</v>
      </c>
      <c r="J33" s="551">
        <f t="shared" si="4"/>
        <v>-0.021177751936978777</v>
      </c>
      <c r="L33" s="6"/>
    </row>
    <row r="34" spans="1:12" ht="12.75" customHeight="1">
      <c r="A34" s="353" t="s">
        <v>95</v>
      </c>
      <c r="B34" s="492">
        <f>SUM('Table 3.28-REC Volume'!G27,'Table 3.28-REC Volume'!G34)</f>
        <v>337701.3471114082</v>
      </c>
      <c r="C34" s="241" t="s">
        <v>582</v>
      </c>
      <c r="D34" s="488">
        <f>F34/B34</f>
        <v>0</v>
      </c>
      <c r="E34" s="151"/>
      <c r="F34" s="489">
        <v>0</v>
      </c>
      <c r="G34" s="18"/>
      <c r="H34" s="358">
        <f t="shared" si="3"/>
        <v>0.2755284798219539</v>
      </c>
      <c r="J34" s="551">
        <f t="shared" si="4"/>
        <v>0</v>
      </c>
      <c r="L34" s="6"/>
    </row>
    <row r="35" spans="1:12" ht="12.75" customHeight="1">
      <c r="A35" s="239" t="s">
        <v>499</v>
      </c>
      <c r="B35" s="492">
        <f>SUM('Table 3.28-REC Volume'!H27,'Table 3.28-REC Volume'!H34)</f>
        <v>507530.4304016547</v>
      </c>
      <c r="C35" s="241" t="s">
        <v>582</v>
      </c>
      <c r="D35" s="488">
        <f>F35/B35</f>
        <v>-0.01863231338709237</v>
      </c>
      <c r="E35" s="151"/>
      <c r="F35" s="489">
        <f>SUM('Table 3.26-REC Detail NonACS'!K27,'Table 3.26-REC Detail NonACS'!K34)</f>
        <v>-9456.466032729502</v>
      </c>
      <c r="G35" s="12" t="s">
        <v>590</v>
      </c>
      <c r="H35" s="358">
        <f t="shared" si="3"/>
        <v>0.41409099829802204</v>
      </c>
      <c r="J35" s="551">
        <f t="shared" si="4"/>
        <v>-0.00771547325106268</v>
      </c>
      <c r="L35" s="6"/>
    </row>
    <row r="36" spans="1:12" ht="12.75" customHeight="1">
      <c r="A36" s="239" t="s">
        <v>677</v>
      </c>
      <c r="B36" s="492">
        <v>0</v>
      </c>
      <c r="C36" s="241"/>
      <c r="D36" s="488">
        <v>0</v>
      </c>
      <c r="E36" s="151"/>
      <c r="F36" s="494">
        <v>0</v>
      </c>
      <c r="G36" s="18"/>
      <c r="H36" s="358">
        <f t="shared" si="3"/>
        <v>0</v>
      </c>
      <c r="J36" s="551">
        <f t="shared" si="4"/>
        <v>0</v>
      </c>
      <c r="L36" s="6"/>
    </row>
    <row r="37" spans="1:12" ht="12.75" customHeight="1">
      <c r="A37" s="239" t="s">
        <v>488</v>
      </c>
      <c r="B37" s="492">
        <f>'Table 3.18-Nixie UAA'!D33-B9</f>
        <v>44485.88302700332</v>
      </c>
      <c r="C37" s="481" t="s">
        <v>622</v>
      </c>
      <c r="D37" s="488">
        <f>'Table 3.18-Nixie UAA'!J33</f>
        <v>0.1296812110922102</v>
      </c>
      <c r="E37" s="12" t="s">
        <v>587</v>
      </c>
      <c r="F37" s="485">
        <f>B37*D37</f>
        <v>5768.983187448189</v>
      </c>
      <c r="G37" s="18"/>
      <c r="H37" s="358">
        <f t="shared" si="3"/>
        <v>0.036295762006314534</v>
      </c>
      <c r="J37" s="551">
        <f t="shared" si="4"/>
        <v>0.004706878374493498</v>
      </c>
      <c r="L37" s="6"/>
    </row>
    <row r="38" spans="1:12" ht="12.75" customHeight="1">
      <c r="A38" s="100" t="s">
        <v>102</v>
      </c>
      <c r="B38" s="492">
        <f>B31</f>
        <v>889717.6605400663</v>
      </c>
      <c r="C38" s="151"/>
      <c r="D38" s="151"/>
      <c r="E38" s="151"/>
      <c r="F38" s="485">
        <f>SUM(F31:F37)</f>
        <v>40646.59239033084</v>
      </c>
      <c r="G38" s="18"/>
      <c r="H38" s="142"/>
      <c r="I38" s="18"/>
      <c r="J38" s="552">
        <f>SUM(J31:J37)</f>
        <v>0.03316330807397043</v>
      </c>
      <c r="L38" s="6"/>
    </row>
    <row r="39" spans="1:12" ht="4.5" customHeight="1">
      <c r="A39" s="100"/>
      <c r="B39" s="492"/>
      <c r="C39" s="151"/>
      <c r="D39" s="151"/>
      <c r="E39" s="151"/>
      <c r="F39" s="485"/>
      <c r="G39" s="18"/>
      <c r="H39" s="142"/>
      <c r="I39" s="18"/>
      <c r="J39" s="18"/>
      <c r="L39" s="6"/>
    </row>
    <row r="40" spans="1:12" ht="15.75" customHeight="1">
      <c r="A40" s="157" t="s">
        <v>19</v>
      </c>
      <c r="B40" s="19"/>
      <c r="C40" s="19"/>
      <c r="D40" s="19"/>
      <c r="E40" s="19"/>
      <c r="F40" s="19"/>
      <c r="G40" s="19"/>
      <c r="H40" s="19"/>
      <c r="I40" s="19"/>
      <c r="J40" s="19"/>
      <c r="L40" s="6"/>
    </row>
    <row r="41" spans="1:12" ht="15.75" customHeight="1">
      <c r="A41" s="158" t="s">
        <v>787</v>
      </c>
      <c r="B41" s="19"/>
      <c r="C41" s="19"/>
      <c r="D41" s="19"/>
      <c r="E41" s="19"/>
      <c r="F41" s="19"/>
      <c r="G41" s="19"/>
      <c r="H41" s="19"/>
      <c r="I41" s="19"/>
      <c r="J41" s="19"/>
      <c r="L41" s="6"/>
    </row>
    <row r="42" spans="2:12" ht="25.5" customHeight="1">
      <c r="B42" s="168" t="s">
        <v>109</v>
      </c>
      <c r="C42" s="168"/>
      <c r="D42" s="169" t="s">
        <v>104</v>
      </c>
      <c r="E42" s="169"/>
      <c r="F42" s="168" t="s">
        <v>110</v>
      </c>
      <c r="G42" s="168"/>
      <c r="H42" s="170" t="s">
        <v>97</v>
      </c>
      <c r="I42" s="170"/>
      <c r="J42" s="171" t="s">
        <v>105</v>
      </c>
      <c r="L42" s="6"/>
    </row>
    <row r="43" spans="1:12" ht="12.75" customHeight="1">
      <c r="A43" s="15" t="s">
        <v>608</v>
      </c>
      <c r="B43" s="492"/>
      <c r="C43" s="151"/>
      <c r="D43" s="151"/>
      <c r="E43" s="151"/>
      <c r="F43" s="485"/>
      <c r="G43" s="18"/>
      <c r="H43" s="142"/>
      <c r="I43" s="18"/>
      <c r="J43" s="18"/>
      <c r="L43" s="6"/>
    </row>
    <row r="44" spans="1:12" ht="12.75" customHeight="1">
      <c r="A44" s="353" t="s">
        <v>481</v>
      </c>
      <c r="B44" s="492">
        <f>'Table 3.24-CIOSS Detail'!E15</f>
        <v>3466.5920378705964</v>
      </c>
      <c r="C44" s="241" t="s">
        <v>244</v>
      </c>
      <c r="D44" s="488">
        <f>F44/B44</f>
        <v>0.06169665013998699</v>
      </c>
      <c r="E44" s="151"/>
      <c r="F44" s="485">
        <f>'Table 3.24-CIOSS Detail'!K15</f>
        <v>213.87711613856672</v>
      </c>
      <c r="G44" s="241" t="s">
        <v>244</v>
      </c>
      <c r="H44" s="358">
        <f>B44/$B$68</f>
        <v>0.002828371407243072</v>
      </c>
      <c r="J44" s="551">
        <f>D44*H44</f>
        <v>0.0001745010411786185</v>
      </c>
      <c r="L44" s="6"/>
    </row>
    <row r="45" spans="1:12" ht="12.75" customHeight="1">
      <c r="A45" s="353" t="s">
        <v>95</v>
      </c>
      <c r="B45" s="492">
        <f>'Table 3.28-REC Volume'!G15</f>
        <v>1365.837262921015</v>
      </c>
      <c r="C45" s="241" t="s">
        <v>582</v>
      </c>
      <c r="D45" s="488">
        <f>F45/B45</f>
        <v>0</v>
      </c>
      <c r="E45" s="151"/>
      <c r="F45" s="485">
        <v>0</v>
      </c>
      <c r="G45" s="18"/>
      <c r="H45" s="358">
        <f>B45/$B$68</f>
        <v>0.0011143783344537703</v>
      </c>
      <c r="J45" s="551">
        <f>D45*H45</f>
        <v>0</v>
      </c>
      <c r="L45" s="6"/>
    </row>
    <row r="46" spans="1:12" ht="12.75" customHeight="1">
      <c r="A46" s="239" t="s">
        <v>499</v>
      </c>
      <c r="B46" s="32">
        <v>0</v>
      </c>
      <c r="C46" s="241"/>
      <c r="D46" s="488">
        <v>0</v>
      </c>
      <c r="E46" s="27"/>
      <c r="F46" s="489">
        <v>0</v>
      </c>
      <c r="H46" s="358">
        <f>B46/$B$68</f>
        <v>0</v>
      </c>
      <c r="J46" s="551">
        <f>D46*H46</f>
        <v>0</v>
      </c>
      <c r="L46" s="6"/>
    </row>
    <row r="47" spans="1:12" ht="12.75" customHeight="1">
      <c r="A47" s="239" t="s">
        <v>677</v>
      </c>
      <c r="B47" s="492">
        <f>'Table 3.28-REC Volume'!H15</f>
        <v>2048.7558943815225</v>
      </c>
      <c r="C47" s="241" t="s">
        <v>582</v>
      </c>
      <c r="D47" s="488">
        <f>F47/B47</f>
        <v>0.038287489875033116</v>
      </c>
      <c r="E47" s="490"/>
      <c r="F47" s="494">
        <f>SUM('Table 3.26-REC Detail NonACS'!K15)</f>
        <v>78.44172056254696</v>
      </c>
      <c r="G47" s="12" t="s">
        <v>590</v>
      </c>
      <c r="H47" s="358">
        <f>B47/$B$68</f>
        <v>0.0016715675016806555</v>
      </c>
      <c r="J47" s="551">
        <f>D47*H47</f>
        <v>6.40001237960325E-05</v>
      </c>
      <c r="L47" s="6"/>
    </row>
    <row r="48" spans="1:12" ht="12.75" customHeight="1">
      <c r="A48" s="239" t="s">
        <v>489</v>
      </c>
      <c r="B48" s="492">
        <v>51.998880568058894</v>
      </c>
      <c r="C48" s="481" t="s">
        <v>623</v>
      </c>
      <c r="D48" s="488">
        <f>'Table 3.21-CFS CIOSS Rejs'!I71</f>
        <v>0.022721462540839583</v>
      </c>
      <c r="E48" s="241" t="s">
        <v>592</v>
      </c>
      <c r="F48" s="494">
        <f>B48*D48</f>
        <v>1.1814906169927415</v>
      </c>
      <c r="G48" s="18"/>
      <c r="H48" s="358">
        <f>B48/$B$68</f>
        <v>4.242557110864603E-05</v>
      </c>
      <c r="J48" s="551">
        <f>D48*H48</f>
        <v>9.639710247188268E-07</v>
      </c>
      <c r="L48" s="6"/>
    </row>
    <row r="49" spans="1:12" ht="12.75" customHeight="1">
      <c r="A49" s="100" t="s">
        <v>102</v>
      </c>
      <c r="B49" s="492">
        <f>B44</f>
        <v>3466.5920378705964</v>
      </c>
      <c r="C49" s="151"/>
      <c r="D49" s="488">
        <f>F49/B49</f>
        <v>0.08466537859424415</v>
      </c>
      <c r="E49" s="151"/>
      <c r="F49" s="485">
        <f>SUM(F44:F48)</f>
        <v>293.50032731810643</v>
      </c>
      <c r="G49" s="18"/>
      <c r="H49" s="142"/>
      <c r="I49" s="18"/>
      <c r="J49" s="552">
        <f>SUM(J44:J48)</f>
        <v>0.0002394651359993698</v>
      </c>
      <c r="L49" s="6"/>
    </row>
    <row r="50" spans="1:12" ht="4.5" customHeight="1">
      <c r="A50" s="100"/>
      <c r="B50" s="492"/>
      <c r="C50" s="151"/>
      <c r="D50" s="151"/>
      <c r="E50" s="151"/>
      <c r="F50" s="485"/>
      <c r="G50" s="18"/>
      <c r="H50" s="142"/>
      <c r="I50" s="18"/>
      <c r="J50" s="18"/>
      <c r="L50" s="6"/>
    </row>
    <row r="51" spans="1:12" ht="12.75" customHeight="1">
      <c r="A51" s="15" t="s">
        <v>609</v>
      </c>
      <c r="B51" s="492"/>
      <c r="C51" s="151"/>
      <c r="D51" s="151"/>
      <c r="E51" s="151"/>
      <c r="F51" s="485"/>
      <c r="G51" s="18"/>
      <c r="H51" s="142"/>
      <c r="I51" s="18"/>
      <c r="J51" s="18"/>
      <c r="L51" s="6"/>
    </row>
    <row r="52" spans="1:12" ht="12.75" customHeight="1">
      <c r="A52" s="353" t="s">
        <v>307</v>
      </c>
      <c r="B52" s="492">
        <f>'Table 3.16-Route UAA PARS'!D100</f>
        <v>82665.01489561028</v>
      </c>
      <c r="C52" s="490" t="s">
        <v>593</v>
      </c>
      <c r="D52" s="488">
        <f>F52/B52</f>
        <v>0.06988312201041105</v>
      </c>
      <c r="E52" s="151"/>
      <c r="F52" s="485">
        <f>'Table 3.16-Route UAA PARS'!J100</f>
        <v>5776.88932194238</v>
      </c>
      <c r="G52" s="490" t="s">
        <v>593</v>
      </c>
      <c r="H52" s="358">
        <f aca="true" t="shared" si="5" ref="H52:H58">B52/$B$68</f>
        <v>0.06744588401399729</v>
      </c>
      <c r="J52" s="551">
        <f aca="true" t="shared" si="6" ref="J52:J58">D52*H52</f>
        <v>0.004713328941650205</v>
      </c>
      <c r="L52" s="6"/>
    </row>
    <row r="53" spans="1:12" ht="12.75" customHeight="1">
      <c r="A53" s="353" t="s">
        <v>495</v>
      </c>
      <c r="B53" s="492">
        <f>'Table 3.18-Nixie UAA'!D10</f>
        <v>82665.0148956103</v>
      </c>
      <c r="C53" s="12" t="s">
        <v>587</v>
      </c>
      <c r="D53" s="488">
        <f>F53/B53</f>
        <v>0.006602477884066475</v>
      </c>
      <c r="E53" s="151"/>
      <c r="F53" s="485">
        <f>'Table 3.18-Nixie UAA'!I10</f>
        <v>545.7939326342927</v>
      </c>
      <c r="G53" s="12" t="s">
        <v>587</v>
      </c>
      <c r="H53" s="358">
        <f t="shared" si="5"/>
        <v>0.0674458840139973</v>
      </c>
      <c r="J53" s="551">
        <f t="shared" si="6"/>
        <v>0.0004453099575737298</v>
      </c>
      <c r="L53" s="6"/>
    </row>
    <row r="54" spans="1:12" ht="12.75" customHeight="1">
      <c r="A54" s="353" t="s">
        <v>481</v>
      </c>
      <c r="B54" s="492">
        <f>SUM('Table 3.24-CIOSS Detail'!E30,'Table 3.24-CIOSS Detail'!E36)</f>
        <v>82665.0148956103</v>
      </c>
      <c r="C54" s="241" t="s">
        <v>244</v>
      </c>
      <c r="D54" s="488">
        <f>F54/B54</f>
        <v>0.03151856528302521</v>
      </c>
      <c r="E54" s="151"/>
      <c r="F54" s="485">
        <f>SUM('Table 3.24-CIOSS Detail'!K30,'Table 3.24-CIOSS Detail'!K36)</f>
        <v>2605.482668609545</v>
      </c>
      <c r="G54" s="241" t="s">
        <v>244</v>
      </c>
      <c r="H54" s="358">
        <f t="shared" si="5"/>
        <v>0.0674458840139973</v>
      </c>
      <c r="J54" s="551">
        <f t="shared" si="6"/>
        <v>0.0021257974983665204</v>
      </c>
      <c r="L54" s="6"/>
    </row>
    <row r="55" spans="1:12" ht="12.75" customHeight="1">
      <c r="A55" s="353" t="s">
        <v>95</v>
      </c>
      <c r="B55" s="492">
        <f>SUM('Table 3.28-REC Volume'!G30,'Table 3.28-REC Volume'!G36)</f>
        <v>32505.517998121402</v>
      </c>
      <c r="C55" s="241" t="s">
        <v>582</v>
      </c>
      <c r="D55" s="488">
        <f>F55/B55</f>
        <v>0</v>
      </c>
      <c r="E55" s="151"/>
      <c r="F55" s="485">
        <v>0</v>
      </c>
      <c r="G55" s="18"/>
      <c r="H55" s="358">
        <f t="shared" si="5"/>
        <v>0.026521054880165727</v>
      </c>
      <c r="J55" s="551">
        <f t="shared" si="6"/>
        <v>0</v>
      </c>
      <c r="L55" s="6"/>
    </row>
    <row r="56" spans="1:12" ht="12.75" customHeight="1">
      <c r="A56" s="239" t="s">
        <v>499</v>
      </c>
      <c r="B56" s="32">
        <v>0</v>
      </c>
      <c r="D56" s="488">
        <v>0</v>
      </c>
      <c r="E56" s="27"/>
      <c r="F56" s="489">
        <v>0</v>
      </c>
      <c r="G56" s="18"/>
      <c r="H56" s="358">
        <f t="shared" si="5"/>
        <v>0</v>
      </c>
      <c r="J56" s="551">
        <f t="shared" si="6"/>
        <v>0</v>
      </c>
      <c r="L56" s="6"/>
    </row>
    <row r="57" spans="1:12" ht="12.75" customHeight="1">
      <c r="A57" s="239" t="s">
        <v>677</v>
      </c>
      <c r="B57" s="492">
        <f>SUM('Table 3.28-REC Volume'!H30,'Table 3.28-REC Volume'!H36)</f>
        <v>48919.521674054726</v>
      </c>
      <c r="C57" s="241" t="s">
        <v>582</v>
      </c>
      <c r="D57" s="488">
        <f>F57/B57</f>
        <v>0.038287489875033116</v>
      </c>
      <c r="E57" s="490"/>
      <c r="F57" s="489">
        <f>SUM('Table 3.26-REC Detail NonACS'!K30,'Table 3.26-REC Detail NonACS'!K36)</f>
        <v>1873.0056907868334</v>
      </c>
      <c r="G57" s="12" t="s">
        <v>590</v>
      </c>
      <c r="H57" s="358">
        <f t="shared" si="5"/>
        <v>0.039913140873621605</v>
      </c>
      <c r="J57" s="551">
        <f t="shared" si="6"/>
        <v>0.0015281739770795577</v>
      </c>
      <c r="L57" s="6"/>
    </row>
    <row r="58" spans="1:12" ht="12.75" customHeight="1">
      <c r="A58" s="239" t="s">
        <v>489</v>
      </c>
      <c r="B58" s="492">
        <f>'Table 3.21-CFS CIOSS Rejs'!B71-B48</f>
        <v>1239.9752234341545</v>
      </c>
      <c r="C58" s="481" t="s">
        <v>624</v>
      </c>
      <c r="D58" s="488">
        <f>'Table 3.21-CFS CIOSS Rejs'!I71</f>
        <v>0.022721462540839583</v>
      </c>
      <c r="E58" s="241" t="s">
        <v>592</v>
      </c>
      <c r="F58" s="494">
        <f>B58*D58</f>
        <v>28.174050590828333</v>
      </c>
      <c r="G58" s="18"/>
      <c r="H58" s="358">
        <f t="shared" si="5"/>
        <v>0.0010116882602099597</v>
      </c>
      <c r="J58" s="551">
        <f t="shared" si="6"/>
        <v>2.2987036907367765E-05</v>
      </c>
      <c r="L58" s="6"/>
    </row>
    <row r="59" spans="1:10" ht="12.75" customHeight="1">
      <c r="A59" s="100" t="s">
        <v>102</v>
      </c>
      <c r="B59" s="324">
        <f>B52</f>
        <v>82665.01489561028</v>
      </c>
      <c r="C59" s="18"/>
      <c r="D59" s="83">
        <f>F59/B59</f>
        <v>0.13100276674768913</v>
      </c>
      <c r="E59" s="18"/>
      <c r="F59" s="113">
        <f>SUM(F52:F58)</f>
        <v>10829.34566456388</v>
      </c>
      <c r="G59" s="18"/>
      <c r="H59" s="142"/>
      <c r="I59" s="18"/>
      <c r="J59" s="552">
        <f>SUM(J52:J58)</f>
        <v>0.00883559741157738</v>
      </c>
    </row>
    <row r="60" spans="1:10" ht="4.5" customHeight="1">
      <c r="A60" s="100"/>
      <c r="B60" s="324"/>
      <c r="C60" s="18"/>
      <c r="D60" s="18"/>
      <c r="E60" s="18"/>
      <c r="F60" s="113"/>
      <c r="G60" s="18"/>
      <c r="H60" s="142"/>
      <c r="I60" s="18"/>
      <c r="J60" s="18"/>
    </row>
    <row r="61" spans="1:10" ht="12.75" customHeight="1">
      <c r="A61" s="15" t="s">
        <v>610</v>
      </c>
      <c r="B61" s="324"/>
      <c r="C61" s="18"/>
      <c r="D61" s="18"/>
      <c r="E61" s="18"/>
      <c r="F61" s="113"/>
      <c r="G61" s="18"/>
      <c r="H61" s="142"/>
      <c r="I61" s="18"/>
      <c r="J61" s="18"/>
    </row>
    <row r="62" spans="1:10" ht="12.75" customHeight="1">
      <c r="A62" s="353" t="s">
        <v>320</v>
      </c>
      <c r="B62" s="6">
        <f>SUM(B10,B18,B28,B38,B49,B59)</f>
        <v>1225649.5130000003</v>
      </c>
      <c r="D62" s="83">
        <f>'Table 3.30-UAA MP Cost'!D24</f>
        <v>0.385176452465069</v>
      </c>
      <c r="E62" s="12" t="s">
        <v>626</v>
      </c>
      <c r="F62" s="113">
        <f>B62*D62</f>
        <v>472091.3313828796</v>
      </c>
      <c r="G62" s="18"/>
      <c r="H62" s="358">
        <f>B62/$B$68</f>
        <v>1</v>
      </c>
      <c r="J62" s="551">
        <f>D62*H62</f>
        <v>0.385176452465069</v>
      </c>
    </row>
    <row r="63" spans="1:10" ht="12.75">
      <c r="A63" s="353" t="s">
        <v>99</v>
      </c>
      <c r="B63" s="6">
        <f>'Table 3.35-PD Vols'!B14</f>
        <v>5161.771480457425</v>
      </c>
      <c r="C63" s="12" t="s">
        <v>625</v>
      </c>
      <c r="D63" s="83">
        <f>'Table 3.32-Accounting Post Due'!I13</f>
        <v>2.3271137589904054</v>
      </c>
      <c r="E63" s="12" t="s">
        <v>627</v>
      </c>
      <c r="F63" s="113">
        <f>B63*D63</f>
        <v>12012.029432936748</v>
      </c>
      <c r="G63" s="18"/>
      <c r="H63" s="358">
        <f>B63/$B$68</f>
        <v>0.004211458027526197</v>
      </c>
      <c r="J63" s="551">
        <f>D63*H63</f>
        <v>0.009800541921266807</v>
      </c>
    </row>
    <row r="64" spans="1:10" ht="12.75">
      <c r="A64" s="353" t="s">
        <v>100</v>
      </c>
      <c r="B64" s="6">
        <f>'Table 3.35-PD Vols'!B15</f>
        <v>4272.5082045449435</v>
      </c>
      <c r="C64" s="12" t="s">
        <v>625</v>
      </c>
      <c r="D64" s="83">
        <f>'Table 3.33-Delivery Post Due'!I20</f>
        <v>0.8875724776281861</v>
      </c>
      <c r="E64" s="12" t="s">
        <v>628</v>
      </c>
      <c r="F64" s="113">
        <f>B64*D64</f>
        <v>3792.1606927947087</v>
      </c>
      <c r="G64" s="18"/>
      <c r="H64" s="358">
        <f>B64/$B$68</f>
        <v>0.003485913517060193</v>
      </c>
      <c r="J64" s="551">
        <f>D64*H64</f>
        <v>0.0030940008971347</v>
      </c>
    </row>
    <row r="65" spans="1:10" ht="12.75">
      <c r="A65" s="497" t="s">
        <v>210</v>
      </c>
      <c r="B65" s="6">
        <f>'Table 3.35-PD Vols'!B16</f>
        <v>490.5659863547917</v>
      </c>
      <c r="C65" s="12" t="s">
        <v>625</v>
      </c>
      <c r="D65" s="83">
        <f>'Table 3.34-Window Post Due'!I13</f>
        <v>0.4736101324003771</v>
      </c>
      <c r="E65" s="12" t="s">
        <v>629</v>
      </c>
      <c r="F65" s="113">
        <f>B65*D65</f>
        <v>232.33702174861446</v>
      </c>
      <c r="G65" s="18"/>
      <c r="H65" s="358">
        <f>B65/$B$68</f>
        <v>0.0004002498113461834</v>
      </c>
      <c r="J65" s="551">
        <f>D65*H65</f>
        <v>0.00018956236614489188</v>
      </c>
    </row>
    <row r="66" spans="1:10" ht="12.75">
      <c r="A66" s="100" t="s">
        <v>102</v>
      </c>
      <c r="B66" s="324">
        <f>B62</f>
        <v>1225649.5130000003</v>
      </c>
      <c r="C66" s="18"/>
      <c r="D66" s="83">
        <f>F66/B66</f>
        <v>0.3982605576496154</v>
      </c>
      <c r="E66" s="18"/>
      <c r="F66" s="175">
        <f>SUM(F62:F65)</f>
        <v>488127.85853035963</v>
      </c>
      <c r="G66" s="18"/>
      <c r="H66" s="142"/>
      <c r="I66" s="18"/>
      <c r="J66" s="552">
        <f>SUM(J62:J65)</f>
        <v>0.3982605576496153</v>
      </c>
    </row>
    <row r="67" spans="1:10" ht="4.5" customHeight="1">
      <c r="A67" s="91"/>
      <c r="B67" s="324"/>
      <c r="C67" s="18"/>
      <c r="D67" s="83"/>
      <c r="E67" s="18"/>
      <c r="F67" s="175"/>
      <c r="G67" s="18"/>
      <c r="H67" s="142"/>
      <c r="I67" s="18"/>
      <c r="J67" s="18"/>
    </row>
    <row r="68" spans="1:10" ht="12.75">
      <c r="A68" s="91" t="s">
        <v>504</v>
      </c>
      <c r="B68" s="393">
        <f>SUM(B10,B18,B28,B38,B49,B59)</f>
        <v>1225649.5130000003</v>
      </c>
      <c r="C68" s="18"/>
      <c r="D68" s="83"/>
      <c r="E68" s="18"/>
      <c r="F68" s="510">
        <f>SUM(F10,F18,F28,F38,F49,F59,F66)</f>
        <v>571137.3552784373</v>
      </c>
      <c r="G68" s="18"/>
      <c r="H68" s="142"/>
      <c r="I68" s="18"/>
      <c r="J68" s="413">
        <f>SUM(J10,J18,J28,J38,J49,J59,J66)</f>
        <v>0.4659875023166081</v>
      </c>
    </row>
    <row r="69" spans="1:10" ht="12.75" hidden="1">
      <c r="A69" s="91"/>
      <c r="B69" s="324"/>
      <c r="C69" s="18"/>
      <c r="D69" s="83"/>
      <c r="E69" s="18"/>
      <c r="F69" s="175"/>
      <c r="G69" s="18"/>
      <c r="H69" s="142"/>
      <c r="I69" s="18"/>
      <c r="J69" s="18"/>
    </row>
    <row r="70" spans="1:10" ht="12.75" hidden="1">
      <c r="A70" s="5"/>
      <c r="B70" s="240"/>
      <c r="F70" s="359"/>
      <c r="H70" s="6"/>
      <c r="J70" s="6"/>
    </row>
    <row r="71" spans="1:11" ht="12.75" hidden="1">
      <c r="A71" s="23" t="s">
        <v>191</v>
      </c>
      <c r="B71" s="143">
        <f>B5-SUM(B6:B9)</f>
        <v>0</v>
      </c>
      <c r="G71" s="482" t="s">
        <v>311</v>
      </c>
      <c r="H71" s="6">
        <f>SUM('Table 3.16-Route UAA PARS'!J99,'Table 3.16-Route UAA PARS'!J100,'Table 3.16-Route UAA PARS'!J107)</f>
        <v>70662.73946522104</v>
      </c>
      <c r="J71" s="6">
        <f>SUM(F21,F31,F52)</f>
        <v>70662.73946522104</v>
      </c>
      <c r="K71" s="143">
        <f aca="true" t="shared" si="7" ref="K71:K78">H71-J71</f>
        <v>0</v>
      </c>
    </row>
    <row r="72" spans="1:11" ht="12.75" hidden="1">
      <c r="A72" s="5"/>
      <c r="B72" s="143">
        <f>B13-SUM(B14:B17)</f>
        <v>0</v>
      </c>
      <c r="G72" s="46" t="s">
        <v>312</v>
      </c>
      <c r="H72" s="6">
        <f>SUM('Table 3.18-Nixie UAA'!I7,'Table 3.18-Nixie UAA'!I9,'Table 3.18-Nixie UAA'!I10,'Table 3.18-Nixie UAA'!I33,'Table 3.18-Nixie UAA'!I34)</f>
        <v>13627.855677021995</v>
      </c>
      <c r="J72" s="6">
        <f>SUM(F9,F22,F32,F37,F53)</f>
        <v>13627.855677021995</v>
      </c>
      <c r="K72" s="143">
        <f t="shared" si="7"/>
        <v>0</v>
      </c>
    </row>
    <row r="73" spans="1:11" ht="12.75" hidden="1">
      <c r="A73" s="5"/>
      <c r="B73" s="143">
        <f>B28-SUM(B24:B27)</f>
        <v>0</v>
      </c>
      <c r="G73" s="46" t="s">
        <v>313</v>
      </c>
      <c r="H73" s="6">
        <f>SUM('Table 3.21-CFS CIOSS Rejs'!H14,'Table 3.21-CFS CIOSS Rejs'!H71)</f>
        <v>3203.279461176556</v>
      </c>
      <c r="J73" s="6">
        <f>SUM(F17,F27,F48,F58)</f>
        <v>3203.279461176556</v>
      </c>
      <c r="K73" s="143">
        <f t="shared" si="7"/>
        <v>0</v>
      </c>
    </row>
    <row r="74" spans="1:11" ht="12.75" hidden="1">
      <c r="A74" s="5"/>
      <c r="B74" s="143">
        <f>B33-SUM(B34:B37)</f>
        <v>0</v>
      </c>
      <c r="G74" s="483" t="s">
        <v>502</v>
      </c>
      <c r="H74" s="6">
        <f>SUM('Table 3.23-CIOSS Summary'!I5,'Table 3.23-CIOSS Summary'!I9,'Table 3.23-CIOSS Summary'!I12)</f>
        <v>-8072.799953931891</v>
      </c>
      <c r="J74" s="6">
        <f>SUM(F5,F13,F23,F33,F44,F54)</f>
        <v>-8072.799953931894</v>
      </c>
      <c r="K74" s="143">
        <f t="shared" si="7"/>
        <v>0</v>
      </c>
    </row>
    <row r="75" spans="1:11" ht="12.75" hidden="1">
      <c r="A75" s="5"/>
      <c r="B75" s="143">
        <f>B44-SUM(B45:B48)</f>
        <v>0</v>
      </c>
      <c r="G75" s="483" t="s">
        <v>503</v>
      </c>
      <c r="H75" s="6">
        <f>SUM('Table 3.25-REC Summary'!K5,'Table 3.25-REC Summary'!K9,'Table 3.25-REC Summary'!K12)</f>
        <v>3588.4220985899738</v>
      </c>
      <c r="J75" s="6">
        <f>SUM(F7:F8,F15:F16,F25:F26,F35:F36,F46:F47,F56:F57)</f>
        <v>3588.4220985899747</v>
      </c>
      <c r="K75" s="143">
        <f t="shared" si="7"/>
        <v>0</v>
      </c>
    </row>
    <row r="76" spans="1:11" ht="12.75" hidden="1">
      <c r="A76" s="5"/>
      <c r="B76" s="143">
        <f>B54-SUM(B55:B58)</f>
        <v>0</v>
      </c>
      <c r="G76" s="67" t="s">
        <v>518</v>
      </c>
      <c r="H76" s="32">
        <f>'Table 3.30-UAA MP Cost'!F24</f>
        <v>472091.3313828795</v>
      </c>
      <c r="J76" s="6">
        <f>F62</f>
        <v>472091.3313828796</v>
      </c>
      <c r="K76" s="143">
        <f t="shared" si="7"/>
        <v>0</v>
      </c>
    </row>
    <row r="77" spans="1:11" ht="12.75" hidden="1">
      <c r="A77" s="5"/>
      <c r="B77" s="143">
        <f>B68-SUM('Table 3.23-CIOSS Summary'!C5,'Table 3.23-CIOSS Summary'!C9,'Table 3.23-CIOSS Summary'!C12)</f>
        <v>0</v>
      </c>
      <c r="G77" s="67" t="s">
        <v>315</v>
      </c>
      <c r="H77" s="32">
        <f>SUM(F63:F65)</f>
        <v>16036.527147480072</v>
      </c>
      <c r="I77" s="27"/>
      <c r="J77" s="32">
        <f>SUM(F63:F65)</f>
        <v>16036.527147480072</v>
      </c>
      <c r="K77" s="143">
        <f t="shared" si="7"/>
        <v>0</v>
      </c>
    </row>
    <row r="78" spans="1:11" ht="12.75" hidden="1">
      <c r="A78" s="5"/>
      <c r="B78" s="240"/>
      <c r="G78" s="46" t="s">
        <v>314</v>
      </c>
      <c r="H78" s="6">
        <f>SUM(H71:H77)</f>
        <v>571137.3552784373</v>
      </c>
      <c r="J78" s="6">
        <f>SUM(J71:J77)</f>
        <v>571137.3552784373</v>
      </c>
      <c r="K78" s="143">
        <f t="shared" si="7"/>
        <v>0</v>
      </c>
    </row>
    <row r="79" spans="1:8" ht="12.75">
      <c r="A79" s="283"/>
      <c r="B79" s="283"/>
      <c r="C79" s="283"/>
      <c r="D79" s="283"/>
      <c r="E79" s="283"/>
      <c r="F79" s="283"/>
      <c r="H79" s="240"/>
    </row>
    <row r="80" ht="12.75">
      <c r="A80" s="284" t="s">
        <v>235</v>
      </c>
    </row>
    <row r="81" spans="1:5" ht="12.75">
      <c r="A81" s="241" t="s">
        <v>779</v>
      </c>
      <c r="D81" s="12"/>
      <c r="E81" s="241" t="s">
        <v>620</v>
      </c>
    </row>
    <row r="82" spans="1:5" ht="12.75">
      <c r="A82" s="241" t="s">
        <v>66</v>
      </c>
      <c r="D82" s="12"/>
      <c r="E82" s="241" t="s">
        <v>621</v>
      </c>
    </row>
    <row r="83" spans="1:5" ht="12.75">
      <c r="A83" s="241" t="s">
        <v>611</v>
      </c>
      <c r="D83" s="12"/>
      <c r="E83" s="241" t="s">
        <v>78</v>
      </c>
    </row>
    <row r="84" spans="1:5" ht="12.75">
      <c r="A84" s="241" t="s">
        <v>612</v>
      </c>
      <c r="E84" s="241" t="s">
        <v>780</v>
      </c>
    </row>
    <row r="85" spans="1:5" ht="12.75">
      <c r="A85" s="241" t="s">
        <v>15</v>
      </c>
      <c r="E85" s="241" t="s">
        <v>16</v>
      </c>
    </row>
    <row r="86" spans="1:5" ht="12.75">
      <c r="A86" s="241" t="s">
        <v>17</v>
      </c>
      <c r="E86" s="241" t="s">
        <v>30</v>
      </c>
    </row>
    <row r="87" spans="1:5" ht="12.75">
      <c r="A87" s="241" t="s">
        <v>613</v>
      </c>
      <c r="E87" s="241" t="s">
        <v>691</v>
      </c>
    </row>
    <row r="88" spans="1:5" ht="12.75">
      <c r="A88" s="12" t="s">
        <v>614</v>
      </c>
      <c r="E88" s="241" t="s">
        <v>692</v>
      </c>
    </row>
    <row r="89" spans="1:5" ht="12.75">
      <c r="A89" s="12" t="s">
        <v>690</v>
      </c>
      <c r="E89" s="241" t="s">
        <v>693</v>
      </c>
    </row>
    <row r="90" spans="1:5" ht="12.75">
      <c r="A90" s="241" t="s">
        <v>77</v>
      </c>
      <c r="E90" s="241" t="s">
        <v>694</v>
      </c>
    </row>
    <row r="91" spans="1:5" ht="12.75">
      <c r="A91" s="241" t="s">
        <v>617</v>
      </c>
      <c r="E91" s="241" t="s">
        <v>695</v>
      </c>
    </row>
    <row r="92" spans="1:5" ht="12.75">
      <c r="A92" s="241" t="s">
        <v>618</v>
      </c>
      <c r="E92" s="241" t="s">
        <v>44</v>
      </c>
    </row>
    <row r="93" ht="12.75">
      <c r="A93" s="241" t="s">
        <v>79</v>
      </c>
    </row>
  </sheetData>
  <sheetProtection/>
  <printOptions horizontalCentered="1"/>
  <pageMargins left="0.75" right="0.75" top="1" bottom="1" header="0.5" footer="0.5"/>
  <pageSetup fitToHeight="2" horizontalDpi="600" verticalDpi="600" orientation="landscape" scale="82" r:id="rId3"/>
  <headerFooter alignWithMargins="0">
    <oddFooter>&amp;L&amp;F</oddFooter>
  </headerFooter>
  <rowBreaks count="1" manualBreakCount="1">
    <brk id="39" max="255" man="1"/>
  </rowBreaks>
  <legacyDrawing r:id="rId2"/>
</worksheet>
</file>

<file path=xl/worksheets/sheet8.xml><?xml version="1.0" encoding="utf-8"?>
<worksheet xmlns="http://schemas.openxmlformats.org/spreadsheetml/2006/main" xmlns:r="http://schemas.openxmlformats.org/officeDocument/2006/relationships">
  <sheetPr codeName="Sheet14">
    <pageSetUpPr fitToPage="1"/>
  </sheetPr>
  <dimension ref="A1:L4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 min="11" max="11" width="12.7109375" style="0" bestFit="1" customWidth="1"/>
  </cols>
  <sheetData>
    <row r="1" spans="1:10" s="13" customFormat="1" ht="15.75">
      <c r="A1" s="157" t="s">
        <v>550</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ustomHeight="1">
      <c r="A4" s="333" t="s">
        <v>630</v>
      </c>
    </row>
    <row r="5" spans="1:10" ht="12.75" customHeight="1">
      <c r="A5" s="353" t="s">
        <v>307</v>
      </c>
      <c r="B5" s="32">
        <f>'Table 3.15-Route UAA NoPARS'!D99</f>
        <v>52099.32711782217</v>
      </c>
      <c r="C5" s="241" t="s">
        <v>241</v>
      </c>
      <c r="D5" s="488">
        <f>F5/B5</f>
        <v>0.11348115453872477</v>
      </c>
      <c r="E5" s="27"/>
      <c r="F5" s="113">
        <f>'Table 3.15-Route UAA NoPARS'!J99</f>
        <v>5912.291792021152</v>
      </c>
      <c r="G5" s="241" t="s">
        <v>241</v>
      </c>
      <c r="H5" s="358">
        <f>B5/$B$29</f>
        <v>0.5890636534047415</v>
      </c>
      <c r="J5" s="22">
        <f>D5*H5</f>
        <v>0.06684762348516929</v>
      </c>
    </row>
    <row r="6" spans="1:10" ht="12.75" customHeight="1">
      <c r="A6" s="239" t="s">
        <v>520</v>
      </c>
      <c r="B6" s="32">
        <f>SUM('Table 3.18-Nixie UAA'!D16,'Table 3.18-Nixie UAA'!D19,'Table 3.18-Nixie UAA'!D25,'Table 3.18-Nixie UAA'!D28)</f>
        <v>52099.32711782216</v>
      </c>
      <c r="C6" s="241" t="s">
        <v>242</v>
      </c>
      <c r="D6" s="488">
        <f>F6/B6</f>
        <v>0.3677487684817801</v>
      </c>
      <c r="E6" s="27"/>
      <c r="F6" s="113">
        <f>SUM('Table 3.18-Nixie UAA'!I16,'Table 3.18-Nixie UAA'!I19,'Table 3.18-Nixie UAA'!I25,'Table 3.18-Nixie UAA'!I28)</f>
        <v>19159.46338630851</v>
      </c>
      <c r="G6" s="241" t="s">
        <v>242</v>
      </c>
      <c r="H6" s="358">
        <f>B6/$B$29</f>
        <v>0.5890636534047414</v>
      </c>
      <c r="J6" s="22">
        <f>D6*H6</f>
        <v>0.21662743309697183</v>
      </c>
    </row>
    <row r="7" spans="1:10" ht="12.75" customHeight="1">
      <c r="A7" s="353" t="s">
        <v>98</v>
      </c>
      <c r="B7" s="32">
        <f>SUM('Table 3.31-Rating Post Due'!B14,'Table 3.31-Rating Post Due'!B25)</f>
        <v>4490.592612228985</v>
      </c>
      <c r="C7" s="241" t="s">
        <v>243</v>
      </c>
      <c r="D7" s="488">
        <f>F7/B7</f>
        <v>0.24558916098980746</v>
      </c>
      <c r="E7" s="27"/>
      <c r="F7" s="113">
        <f>SUM('Table 3.31-Rating Post Due'!H14,'Table 3.31-Rating Post Due'!H25)</f>
        <v>1102.8408719843442</v>
      </c>
      <c r="G7" s="241" t="s">
        <v>243</v>
      </c>
      <c r="H7" s="358">
        <f>B7/$B$29</f>
        <v>0.05077311044977125</v>
      </c>
      <c r="J7" s="22">
        <f>D7*H7</f>
        <v>0.012469325596202147</v>
      </c>
    </row>
    <row r="8" spans="1:10" ht="12.75" customHeight="1">
      <c r="A8" s="353" t="s">
        <v>102</v>
      </c>
      <c r="B8" s="32">
        <f>B5</f>
        <v>52099.32711782217</v>
      </c>
      <c r="C8" s="27"/>
      <c r="D8" s="488">
        <f>F8/B8</f>
        <v>0.5023979674654989</v>
      </c>
      <c r="E8" s="27"/>
      <c r="F8" s="113">
        <f>SUM(F5:F7)</f>
        <v>26174.596050314005</v>
      </c>
      <c r="J8" s="22">
        <f>SUM(J5:J7)</f>
        <v>0.2959443821783433</v>
      </c>
    </row>
    <row r="9" spans="2:11" ht="4.5" customHeight="1">
      <c r="B9" s="32"/>
      <c r="C9" s="27"/>
      <c r="D9" s="488"/>
      <c r="E9" s="27"/>
      <c r="F9" s="113"/>
      <c r="H9" s="6"/>
      <c r="K9" s="6"/>
    </row>
    <row r="10" spans="1:8" ht="12.75" customHeight="1">
      <c r="A10" s="15" t="s">
        <v>631</v>
      </c>
      <c r="B10" s="32"/>
      <c r="C10" s="27"/>
      <c r="D10" s="488"/>
      <c r="E10" s="27"/>
      <c r="F10" s="113"/>
      <c r="H10" s="142"/>
    </row>
    <row r="11" spans="1:10" ht="12.75" customHeight="1">
      <c r="A11" s="353" t="s">
        <v>307</v>
      </c>
      <c r="B11" s="32">
        <f>'Table 3.15-Route UAA NoPARS'!D107</f>
        <v>28482.184243887477</v>
      </c>
      <c r="C11" s="241" t="s">
        <v>241</v>
      </c>
      <c r="D11" s="488">
        <f>F11/B11</f>
        <v>0.07080385843558165</v>
      </c>
      <c r="E11" s="27"/>
      <c r="F11" s="113">
        <f>'Table 3.15-Route UAA NoPARS'!J107</f>
        <v>2016.648541140363</v>
      </c>
      <c r="G11" s="241" t="s">
        <v>241</v>
      </c>
      <c r="H11" s="358">
        <f>B11/$B$29</f>
        <v>0.3220352437510072</v>
      </c>
      <c r="J11" s="22">
        <f>D11*H11</f>
        <v>0.022801337809814345</v>
      </c>
    </row>
    <row r="12" spans="1:12" ht="12.75" customHeight="1">
      <c r="A12" s="239" t="s">
        <v>96</v>
      </c>
      <c r="B12" s="32">
        <f>'Table 3.20-CFS Non-CIOSS'!B14</f>
        <v>28482.184243887474</v>
      </c>
      <c r="C12" s="241" t="s">
        <v>244</v>
      </c>
      <c r="D12" s="488">
        <f>F12/B12</f>
        <v>0.28532656617516167</v>
      </c>
      <c r="E12" s="27"/>
      <c r="F12" s="113">
        <f>'Table 3.20-CFS Non-CIOSS'!H14</f>
        <v>8126.723827476706</v>
      </c>
      <c r="G12" s="241" t="s">
        <v>244</v>
      </c>
      <c r="H12" s="358">
        <f>B12/$B$29</f>
        <v>0.32203524375100717</v>
      </c>
      <c r="J12" s="22">
        <f>D12*H12</f>
        <v>0.09188521028685606</v>
      </c>
      <c r="K12" s="165"/>
      <c r="L12" s="6"/>
    </row>
    <row r="13" spans="1:12" ht="12.75" customHeight="1">
      <c r="A13" s="239" t="s">
        <v>310</v>
      </c>
      <c r="B13" s="32">
        <f>'Table 3.20-CFS Non-CIOSS'!B50+'Table 3.20-CFS Non-CIOSS'!B61</f>
        <v>4742.477850816568</v>
      </c>
      <c r="C13" s="241" t="s">
        <v>244</v>
      </c>
      <c r="D13" s="488">
        <f>F13/B13</f>
        <v>0.3732030232015894</v>
      </c>
      <c r="E13" s="27"/>
      <c r="F13" s="113">
        <f>'Table 3.20-CFS Non-CIOSS'!H50+'Table 3.20-CFS Non-CIOSS'!H61</f>
        <v>1769.9070713913195</v>
      </c>
      <c r="G13" s="241" t="s">
        <v>244</v>
      </c>
      <c r="H13" s="358">
        <f>B13/$B$29</f>
        <v>0.05362106352497268</v>
      </c>
      <c r="J13" s="22">
        <f>D13*H13</f>
        <v>0.020011543014804276</v>
      </c>
      <c r="K13" s="165"/>
      <c r="L13" s="6"/>
    </row>
    <row r="14" spans="1:12" ht="12.75" customHeight="1">
      <c r="A14" s="353" t="s">
        <v>102</v>
      </c>
      <c r="B14" s="32">
        <f>B11</f>
        <v>28482.184243887477</v>
      </c>
      <c r="C14" s="27"/>
      <c r="D14" s="488">
        <f>F14/B14</f>
        <v>0.4182712722450379</v>
      </c>
      <c r="E14" s="27"/>
      <c r="F14" s="113">
        <f>SUM(F11:F13)</f>
        <v>11913.279440008388</v>
      </c>
      <c r="H14" s="142"/>
      <c r="J14" s="22">
        <f>SUM(J11:J13)</f>
        <v>0.13469809111147468</v>
      </c>
      <c r="K14" s="165"/>
      <c r="L14" s="6"/>
    </row>
    <row r="15" spans="2:12" ht="4.5" customHeight="1">
      <c r="B15" s="32"/>
      <c r="C15" s="27"/>
      <c r="D15" s="488"/>
      <c r="E15" s="27"/>
      <c r="F15" s="113"/>
      <c r="H15" s="142"/>
      <c r="K15" s="165"/>
      <c r="L15" s="6"/>
    </row>
    <row r="16" spans="1:12" ht="12.75" customHeight="1">
      <c r="A16" s="15" t="s">
        <v>632</v>
      </c>
      <c r="B16" s="32"/>
      <c r="C16" s="27"/>
      <c r="D16" s="488"/>
      <c r="E16" s="27"/>
      <c r="F16" s="113"/>
      <c r="H16" s="142"/>
      <c r="L16" s="6"/>
    </row>
    <row r="17" spans="1:12" ht="12.75" customHeight="1">
      <c r="A17" s="353" t="s">
        <v>307</v>
      </c>
      <c r="B17" s="32">
        <f>'Table 3.15-Route UAA NoPARS'!D100</f>
        <v>7862.796510100412</v>
      </c>
      <c r="C17" s="241" t="s">
        <v>241</v>
      </c>
      <c r="D17" s="488">
        <f>F17/B17</f>
        <v>0.08576068104007845</v>
      </c>
      <c r="E17" s="27"/>
      <c r="F17" s="113">
        <f>'Table 3.15-Route UAA NoPARS'!J100</f>
        <v>674.3187835857634</v>
      </c>
      <c r="G17" s="241" t="s">
        <v>241</v>
      </c>
      <c r="H17" s="358">
        <f>B17/$B$29</f>
        <v>0.08890110284425132</v>
      </c>
      <c r="J17" s="22">
        <f>D17*H17</f>
        <v>0.007624219125137048</v>
      </c>
      <c r="L17" s="6"/>
    </row>
    <row r="18" spans="1:10" ht="12.75" customHeight="1">
      <c r="A18" s="353" t="s">
        <v>309</v>
      </c>
      <c r="B18" s="32">
        <v>0</v>
      </c>
      <c r="C18" s="241" t="s">
        <v>242</v>
      </c>
      <c r="D18" s="488">
        <v>0</v>
      </c>
      <c r="E18" s="27"/>
      <c r="F18" s="113">
        <v>0</v>
      </c>
      <c r="G18" s="241" t="s">
        <v>242</v>
      </c>
      <c r="H18" s="358">
        <f>B18/$B$29</f>
        <v>0</v>
      </c>
      <c r="J18" s="22">
        <f>D18*H18</f>
        <v>0</v>
      </c>
    </row>
    <row r="19" spans="1:10" ht="12.75" customHeight="1">
      <c r="A19" s="82" t="s">
        <v>96</v>
      </c>
      <c r="B19" s="32">
        <f>'Table 3.20-CFS Non-CIOSS'!B71</f>
        <v>7862.796510100412</v>
      </c>
      <c r="C19" s="241" t="s">
        <v>244</v>
      </c>
      <c r="D19" s="488">
        <f>F19/B19</f>
        <v>0.022721462540839624</v>
      </c>
      <c r="E19" s="27"/>
      <c r="F19" s="113">
        <f>'Table 3.20-CFS Non-CIOSS'!H71</f>
        <v>178.65423637049105</v>
      </c>
      <c r="G19" s="241" t="s">
        <v>244</v>
      </c>
      <c r="H19" s="358">
        <f>B19/$B$29</f>
        <v>0.08890110284425132</v>
      </c>
      <c r="J19" s="22">
        <f>D19*H19</f>
        <v>0.002019963078114987</v>
      </c>
    </row>
    <row r="20" spans="1:10" ht="12.75" customHeight="1">
      <c r="A20" s="100" t="s">
        <v>102</v>
      </c>
      <c r="B20" s="32">
        <f>B17</f>
        <v>7862.796510100412</v>
      </c>
      <c r="C20" s="27"/>
      <c r="D20" s="488">
        <f>F20/B20</f>
        <v>0.10848214358091808</v>
      </c>
      <c r="E20" s="27"/>
      <c r="F20" s="113">
        <f>SUM(F17:F19)</f>
        <v>852.9730199562545</v>
      </c>
      <c r="J20" s="22">
        <f>SUM(J17:J19)</f>
        <v>0.009644182203252034</v>
      </c>
    </row>
    <row r="21" spans="1:10" ht="4.5" customHeight="1">
      <c r="A21" s="100"/>
      <c r="B21" s="324"/>
      <c r="C21" s="18"/>
      <c r="D21" s="18"/>
      <c r="E21" s="18"/>
      <c r="F21" s="113"/>
      <c r="G21" s="18"/>
      <c r="H21" s="142"/>
      <c r="I21" s="18"/>
      <c r="J21" s="18"/>
    </row>
    <row r="22" spans="1:10" ht="12.75" customHeight="1">
      <c r="A22" s="15" t="s">
        <v>633</v>
      </c>
      <c r="B22" s="324"/>
      <c r="C22" s="18"/>
      <c r="D22" s="18"/>
      <c r="E22" s="18"/>
      <c r="F22" s="113"/>
      <c r="G22" s="18"/>
      <c r="H22" s="142"/>
      <c r="I22" s="18"/>
      <c r="J22" s="18"/>
    </row>
    <row r="23" spans="1:10" ht="12.75" customHeight="1">
      <c r="A23" s="353" t="s">
        <v>320</v>
      </c>
      <c r="B23" s="6">
        <f>SUM(B8,B14,B20)</f>
        <v>88444.30787181006</v>
      </c>
      <c r="D23" s="488">
        <f>'Table 3.30-UAA MP Cost'!D32</f>
        <v>2.509766177736546</v>
      </c>
      <c r="E23" s="12" t="s">
        <v>586</v>
      </c>
      <c r="F23" s="113">
        <f>B23*D23</f>
        <v>221974.53250998704</v>
      </c>
      <c r="G23" s="18"/>
      <c r="H23" s="358">
        <f>B23/$B$29</f>
        <v>1</v>
      </c>
      <c r="J23" s="22">
        <f>D23*H23</f>
        <v>2.509766177736546</v>
      </c>
    </row>
    <row r="24" spans="1:10" ht="12.75">
      <c r="A24" s="353" t="s">
        <v>99</v>
      </c>
      <c r="B24" s="6">
        <f>'Table 3.35-PD Vols'!D14</f>
        <v>9233.070463045551</v>
      </c>
      <c r="C24" s="12" t="s">
        <v>582</v>
      </c>
      <c r="D24" s="83">
        <f>'Table 3.32-Accounting Post Due'!I13</f>
        <v>2.3271137589904054</v>
      </c>
      <c r="E24" s="12" t="s">
        <v>587</v>
      </c>
      <c r="F24" s="113">
        <f>B24*D24</f>
        <v>21486.405312281215</v>
      </c>
      <c r="G24" s="18"/>
      <c r="H24" s="358">
        <f>B24/$B$29</f>
        <v>0.1043941739747439</v>
      </c>
      <c r="J24" s="22">
        <f>D24*H24</f>
        <v>0.24293711861506465</v>
      </c>
    </row>
    <row r="25" spans="1:10" ht="12.75">
      <c r="A25" s="353" t="s">
        <v>100</v>
      </c>
      <c r="B25" s="6">
        <f>'Table 3.35-PD Vols'!D15</f>
        <v>6478.11240774241</v>
      </c>
      <c r="C25" s="12" t="s">
        <v>582</v>
      </c>
      <c r="D25" s="83">
        <f>'Table 3.33-Delivery Post Due'!I20</f>
        <v>0.8875724776281861</v>
      </c>
      <c r="E25" s="12" t="s">
        <v>590</v>
      </c>
      <c r="F25" s="113">
        <f>B25*D25</f>
        <v>5749.794280093825</v>
      </c>
      <c r="G25" s="18"/>
      <c r="H25" s="358">
        <f>B25/$B$29</f>
        <v>0.07324510263714987</v>
      </c>
      <c r="J25" s="22">
        <f>D25*H25</f>
        <v>0.0650103372217859</v>
      </c>
    </row>
    <row r="26" spans="1:10" ht="12.75">
      <c r="A26" s="497" t="s">
        <v>210</v>
      </c>
      <c r="B26" s="6">
        <f>'Table 3.35-PD Vols'!D16</f>
        <v>1313.4920599922182</v>
      </c>
      <c r="C26" s="12" t="s">
        <v>582</v>
      </c>
      <c r="D26" s="83">
        <f>'Table 3.34-Window Post Due'!I13</f>
        <v>0.4736101324003771</v>
      </c>
      <c r="E26" s="12" t="s">
        <v>591</v>
      </c>
      <c r="F26" s="113">
        <f>B26*D26</f>
        <v>622.0831484397585</v>
      </c>
      <c r="G26" s="18"/>
      <c r="H26" s="358">
        <f>B26/$B$29</f>
        <v>0.01485106381177153</v>
      </c>
      <c r="J26" s="22">
        <f>D26*H26</f>
        <v>0.007033614298179563</v>
      </c>
    </row>
    <row r="27" spans="1:10" ht="12.75">
      <c r="A27" s="100" t="s">
        <v>102</v>
      </c>
      <c r="B27" s="324">
        <f>B23</f>
        <v>88444.30787181006</v>
      </c>
      <c r="C27" s="18"/>
      <c r="D27" s="83">
        <f>F27/B27</f>
        <v>2.8247472478715765</v>
      </c>
      <c r="E27" s="18"/>
      <c r="F27" s="175">
        <f>SUM(F23:F26)</f>
        <v>249832.81525080185</v>
      </c>
      <c r="G27" s="18"/>
      <c r="H27" s="142"/>
      <c r="I27" s="18"/>
      <c r="J27" s="552">
        <f>SUM(J23:J26)</f>
        <v>2.8247472478715765</v>
      </c>
    </row>
    <row r="28" spans="1:10" ht="4.5" customHeight="1">
      <c r="A28" s="91"/>
      <c r="B28" s="324"/>
      <c r="C28" s="18"/>
      <c r="D28" s="83"/>
      <c r="E28" s="18"/>
      <c r="F28" s="175"/>
      <c r="G28" s="18"/>
      <c r="H28" s="142"/>
      <c r="I28" s="18"/>
      <c r="J28" s="18"/>
    </row>
    <row r="29" spans="1:10" ht="12.75">
      <c r="A29" s="91" t="s">
        <v>494</v>
      </c>
      <c r="B29" s="393">
        <f>SUM(B8,B14,B20)</f>
        <v>88444.30787181006</v>
      </c>
      <c r="C29" s="18"/>
      <c r="D29" s="488"/>
      <c r="E29" s="18"/>
      <c r="F29" s="510">
        <f>SUM(F8,F14,F20,F27)</f>
        <v>288773.6637610805</v>
      </c>
      <c r="G29" s="18"/>
      <c r="H29" s="142"/>
      <c r="I29" s="18"/>
      <c r="J29" s="413">
        <f>SUM(J8,J14,J20,J27)</f>
        <v>3.2650339033646465</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240"/>
      <c r="D32" s="500"/>
      <c r="G32" s="482" t="s">
        <v>311</v>
      </c>
      <c r="H32" s="6">
        <f>SUM('Table 3.15-Route UAA NoPARS'!J99:J100,'Table 3.15-Route UAA NoPARS'!J107)</f>
        <v>8603.259116747278</v>
      </c>
      <c r="J32" s="6">
        <f>SUM(F5,F11,F17)</f>
        <v>8603.259116747278</v>
      </c>
      <c r="K32" s="143">
        <f aca="true" t="shared" si="0" ref="K32:K37">H32-J32</f>
        <v>0</v>
      </c>
    </row>
    <row r="33" spans="1:11" ht="12.75" hidden="1">
      <c r="A33" s="5"/>
      <c r="B33" s="240"/>
      <c r="G33" s="46" t="s">
        <v>312</v>
      </c>
      <c r="H33" s="6">
        <f>SUM('Table 3.18-Nixie UAA'!I16:I16,'Table 3.18-Nixie UAA'!I19,'Table 3.18-Nixie UAA'!I25:I25,'Table 3.18-Nixie UAA'!I28)+SUM('Table 3.31-Rating Post Due'!H13,'Table 3.31-Rating Post Due'!H25)</f>
        <v>20262.304258292854</v>
      </c>
      <c r="J33" s="6">
        <f>SUM(F6:F7,F18)</f>
        <v>20262.304258292854</v>
      </c>
      <c r="K33" s="143">
        <f t="shared" si="0"/>
        <v>0</v>
      </c>
    </row>
    <row r="34" spans="1:11" ht="12.75" hidden="1">
      <c r="A34" s="5"/>
      <c r="B34" s="240"/>
      <c r="G34" s="46" t="s">
        <v>313</v>
      </c>
      <c r="H34" s="6">
        <f>SUM('Table 3.20-CFS Non-CIOSS'!H14,'Table 3.20-CFS Non-CIOSS'!H50,'Table 3.20-CFS Non-CIOSS'!H61,'Table 3.20-CFS Non-CIOSS'!H71)</f>
        <v>10075.285135238515</v>
      </c>
      <c r="J34" s="6">
        <f>SUM(F12:F13,F19)</f>
        <v>10075.285135238515</v>
      </c>
      <c r="K34" s="143">
        <f t="shared" si="0"/>
        <v>0</v>
      </c>
    </row>
    <row r="35" spans="1:11" ht="12.75" hidden="1">
      <c r="A35" s="5"/>
      <c r="B35" s="240"/>
      <c r="G35" s="67" t="s">
        <v>518</v>
      </c>
      <c r="H35" s="32">
        <f>'Table 3.30-UAA MP Cost'!F32</f>
        <v>221974.53250998695</v>
      </c>
      <c r="J35" s="6">
        <f>F23</f>
        <v>221974.53250998704</v>
      </c>
      <c r="K35" s="143">
        <f t="shared" si="0"/>
        <v>0</v>
      </c>
    </row>
    <row r="36" spans="1:11" ht="12.75" hidden="1">
      <c r="A36" s="5"/>
      <c r="B36" s="240"/>
      <c r="G36" s="67" t="s">
        <v>315</v>
      </c>
      <c r="H36" s="32">
        <f>SUM(F24:F26)</f>
        <v>27858.282740814797</v>
      </c>
      <c r="I36" s="27"/>
      <c r="J36" s="32">
        <f>SUM(F24:F26)</f>
        <v>27858.282740814797</v>
      </c>
      <c r="K36" s="143">
        <f t="shared" si="0"/>
        <v>0</v>
      </c>
    </row>
    <row r="37" spans="1:11" ht="12.75" hidden="1">
      <c r="A37" s="5"/>
      <c r="B37" s="240"/>
      <c r="G37" s="46" t="s">
        <v>314</v>
      </c>
      <c r="H37" s="6">
        <f>SUM(H32:H36)</f>
        <v>288773.6637610804</v>
      </c>
      <c r="J37" s="6">
        <f>SUM(J32:J36)</f>
        <v>288773.6637610805</v>
      </c>
      <c r="K37" s="143">
        <f t="shared" si="0"/>
        <v>0</v>
      </c>
    </row>
    <row r="38" spans="1:8" ht="12.75">
      <c r="A38" s="283"/>
      <c r="B38" s="283"/>
      <c r="C38" s="283"/>
      <c r="D38" s="283"/>
      <c r="E38" s="283"/>
      <c r="F38" s="283"/>
      <c r="H38" s="240"/>
    </row>
    <row r="39" ht="12.75">
      <c r="A39" s="284" t="s">
        <v>235</v>
      </c>
    </row>
    <row r="40" spans="1:5" ht="12.75">
      <c r="A40" s="241" t="s">
        <v>634</v>
      </c>
      <c r="D40" s="12"/>
      <c r="E40" s="241" t="s">
        <v>639</v>
      </c>
    </row>
    <row r="41" spans="1:5" ht="12.75">
      <c r="A41" s="241" t="s">
        <v>635</v>
      </c>
      <c r="D41" s="12"/>
      <c r="E41" s="241" t="s">
        <v>602</v>
      </c>
    </row>
    <row r="42" spans="1:5" ht="12.75">
      <c r="A42" s="241" t="s">
        <v>35</v>
      </c>
      <c r="D42" s="12"/>
      <c r="E42" s="241" t="s">
        <v>686</v>
      </c>
    </row>
    <row r="43" spans="1:5" ht="12.75">
      <c r="A43" s="241" t="s">
        <v>636</v>
      </c>
      <c r="E43" s="241" t="s">
        <v>687</v>
      </c>
    </row>
    <row r="44" spans="1:5" ht="12.75">
      <c r="A44" s="241" t="s">
        <v>637</v>
      </c>
      <c r="E44" s="241" t="s">
        <v>688</v>
      </c>
    </row>
    <row r="45" spans="1:5" ht="12.75">
      <c r="A45" s="241" t="s">
        <v>45</v>
      </c>
      <c r="E45" s="241" t="s">
        <v>689</v>
      </c>
    </row>
    <row r="46" ht="12.75">
      <c r="A46" s="241" t="s">
        <v>696</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sheetPr codeName="Sheet15">
    <pageSetUpPr fitToPage="1"/>
  </sheetPr>
  <dimension ref="A1:K30"/>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551</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1" ht="12.75">
      <c r="A4" s="333"/>
      <c r="B4" s="27"/>
      <c r="C4" s="27"/>
      <c r="D4" s="27"/>
      <c r="E4" s="151"/>
      <c r="F4" s="485"/>
      <c r="G4" s="151"/>
      <c r="H4" s="486"/>
      <c r="I4" s="151"/>
      <c r="J4" s="151"/>
      <c r="K4" s="27"/>
    </row>
    <row r="5" spans="1:11" ht="12.75">
      <c r="A5" s="493" t="s">
        <v>574</v>
      </c>
      <c r="B5" s="484"/>
      <c r="C5" s="27"/>
      <c r="D5" s="27"/>
      <c r="E5" s="27"/>
      <c r="F5" s="27"/>
      <c r="G5" s="67"/>
      <c r="H5" s="32"/>
      <c r="I5" s="27"/>
      <c r="J5" s="32"/>
      <c r="K5" s="240"/>
    </row>
    <row r="6" spans="1:11" ht="12.75">
      <c r="A6" s="353" t="s">
        <v>491</v>
      </c>
      <c r="B6" s="492">
        <f>'Table 3.9-PARS Wst Summary'!B10</f>
        <v>621685.7261141733</v>
      </c>
      <c r="C6" s="27"/>
      <c r="D6" s="121">
        <f aca="true" t="shared" si="0" ref="D6:D11">F6/B6</f>
        <v>0.1061648831526129</v>
      </c>
      <c r="E6" s="27"/>
      <c r="F6" s="175">
        <f>'Table 3.9-PARS Wst Summary'!F10</f>
        <v>66001.19247055851</v>
      </c>
      <c r="G6" s="27"/>
      <c r="H6" s="134">
        <f aca="true" t="shared" si="1" ref="H6:H11">B6/$B$19</f>
        <v>0.19441837791367142</v>
      </c>
      <c r="I6" s="27"/>
      <c r="J6" s="121">
        <f>D6*H6</f>
        <v>0.02064040437392546</v>
      </c>
      <c r="K6" s="27"/>
    </row>
    <row r="7" spans="1:11" ht="12.75">
      <c r="A7" s="353" t="s">
        <v>492</v>
      </c>
      <c r="B7" s="492">
        <f>'Table 3.9-PARS Wst Summary'!B18</f>
        <v>113123.3913216765</v>
      </c>
      <c r="C7" s="27"/>
      <c r="D7" s="121">
        <f t="shared" si="0"/>
        <v>0.09191057396819025</v>
      </c>
      <c r="E7" s="27"/>
      <c r="F7" s="175">
        <f>'Table 3.9-PARS Wst Summary'!F18</f>
        <v>10397.235825603479</v>
      </c>
      <c r="G7" s="27"/>
      <c r="H7" s="134">
        <f t="shared" si="1"/>
        <v>0.035376823563767576</v>
      </c>
      <c r="I7" s="27"/>
      <c r="J7" s="121">
        <f>D7*H7</f>
        <v>0.0032515041589172753</v>
      </c>
      <c r="K7" s="27"/>
    </row>
    <row r="8" spans="1:10" ht="12.75">
      <c r="A8" s="353" t="s">
        <v>493</v>
      </c>
      <c r="B8" s="492">
        <f>'Table 3.9-PARS Wst Summary'!B28</f>
        <v>12569.265702408498</v>
      </c>
      <c r="D8" s="121">
        <f t="shared" si="0"/>
        <v>0.15425487189031073</v>
      </c>
      <c r="F8" s="175">
        <f>'Table 3.9-PARS Wst Summary'!F28</f>
        <v>1938.8704706802994</v>
      </c>
      <c r="H8" s="134">
        <f t="shared" si="1"/>
        <v>0.0039307581737519515</v>
      </c>
      <c r="J8" s="121">
        <f>D8*H8</f>
        <v>0.0006063385985238991</v>
      </c>
    </row>
    <row r="9" spans="1:10" ht="12.75">
      <c r="A9" s="353" t="s">
        <v>501</v>
      </c>
      <c r="B9" s="492">
        <f>'Table 3.9-PARS Wst Summary'!B36</f>
        <v>20356.725674268077</v>
      </c>
      <c r="D9" s="121">
        <f t="shared" si="0"/>
        <v>0.08466537859424415</v>
      </c>
      <c r="F9" s="175">
        <f>'Table 3.9-PARS Wst Summary'!F36</f>
        <v>1723.509886151077</v>
      </c>
      <c r="H9" s="134">
        <f t="shared" si="1"/>
        <v>0.006366113003691431</v>
      </c>
      <c r="J9" s="121">
        <f>D9*H9</f>
        <v>0.0005389893676312758</v>
      </c>
    </row>
    <row r="10" spans="1:10" ht="12.75">
      <c r="A10" s="353" t="s">
        <v>500</v>
      </c>
      <c r="B10" s="6">
        <f>'Table 3.9-PARS Wst Summary'!B46</f>
        <v>293187.41618747346</v>
      </c>
      <c r="D10" s="121">
        <f t="shared" si="0"/>
        <v>0.13249600437303202</v>
      </c>
      <c r="F10" s="175">
        <f>'Table 3.9-PARS Wst Summary'!F46</f>
        <v>38846.16117729344</v>
      </c>
      <c r="H10" s="134">
        <f t="shared" si="1"/>
        <v>0.09168784079401683</v>
      </c>
      <c r="J10" s="121">
        <f>D10*H10</f>
        <v>0.012148272554797918</v>
      </c>
    </row>
    <row r="11" spans="1:10" ht="12.75">
      <c r="A11" s="353" t="s">
        <v>102</v>
      </c>
      <c r="B11" s="6">
        <f>SUM(B6:B10)</f>
        <v>1060922.525</v>
      </c>
      <c r="D11" s="121">
        <f t="shared" si="0"/>
        <v>0.11207884367455279</v>
      </c>
      <c r="F11" s="175">
        <f>SUM(F6:F10)</f>
        <v>118906.9698302868</v>
      </c>
      <c r="H11" s="134">
        <f t="shared" si="1"/>
        <v>0.33177991344889923</v>
      </c>
      <c r="J11" s="121">
        <f>SUM(J6:J10)</f>
        <v>0.03718550905379583</v>
      </c>
    </row>
    <row r="12" spans="1:8" ht="12.75">
      <c r="A12" s="241"/>
      <c r="D12" s="12"/>
      <c r="F12" s="175"/>
      <c r="H12" s="358"/>
    </row>
    <row r="13" spans="1:8" ht="12.75">
      <c r="A13" s="333" t="s">
        <v>479</v>
      </c>
      <c r="D13" s="12"/>
      <c r="F13" s="175"/>
      <c r="H13" s="358"/>
    </row>
    <row r="14" spans="1:10" ht="12.75">
      <c r="A14" s="353" t="s">
        <v>496</v>
      </c>
      <c r="B14" s="6">
        <f>'Table 3.10-NonPARS Wst Summary'!B7</f>
        <v>2057289.0077708028</v>
      </c>
      <c r="D14" s="121">
        <f>F14/B14</f>
        <v>0.05223882906940201</v>
      </c>
      <c r="F14" s="175">
        <f>'Table 3.10-NonPARS Wst Summary'!F7</f>
        <v>107470.36882329863</v>
      </c>
      <c r="H14" s="134">
        <f>B14/$B$19</f>
        <v>0.643371361106287</v>
      </c>
      <c r="J14" s="121">
        <f>D14*H14</f>
        <v>0.03360896656097984</v>
      </c>
    </row>
    <row r="15" spans="1:10" ht="12.75">
      <c r="A15" s="353" t="s">
        <v>497</v>
      </c>
      <c r="B15" s="6">
        <f>'Table 3.10-NonPARS Wst Summary'!B12</f>
        <v>45650.782923658546</v>
      </c>
      <c r="D15" s="121">
        <f>F15/B15</f>
        <v>0.37818395353538403</v>
      </c>
      <c r="F15" s="175">
        <f>'Table 3.10-NonPARS Wst Summary'!F12</f>
        <v>17264.393568054787</v>
      </c>
      <c r="H15" s="134">
        <f>B15/$B$19</f>
        <v>0.014276266598530294</v>
      </c>
      <c r="J15" s="121">
        <f>D15*H15</f>
        <v>0.005399054943957335</v>
      </c>
    </row>
    <row r="16" spans="1:10" ht="12.75">
      <c r="A16" s="353" t="s">
        <v>498</v>
      </c>
      <c r="B16" s="6">
        <f>'Table 3.10-NonPARS Wst Summary'!B18</f>
        <v>33807.229672405396</v>
      </c>
      <c r="D16" s="121">
        <f>F16/B16</f>
        <v>0.1564079878978562</v>
      </c>
      <c r="F16" s="175">
        <f>'Table 3.10-NonPARS Wst Summary'!F18</f>
        <v>5287.720769461628</v>
      </c>
      <c r="H16" s="134">
        <f>B16/$B$19</f>
        <v>0.010572458846283541</v>
      </c>
      <c r="J16" s="121">
        <f>D16*H16</f>
        <v>0.0016536170152800988</v>
      </c>
    </row>
    <row r="17" spans="1:10" ht="12.75">
      <c r="A17" s="353" t="s">
        <v>102</v>
      </c>
      <c r="B17" s="6">
        <f>SUM(B14:B16)</f>
        <v>2136747.0203668666</v>
      </c>
      <c r="D17" s="121">
        <f>F17/B17</f>
        <v>0.06085066782425697</v>
      </c>
      <c r="F17" s="175">
        <f>SUM(F14:F16)</f>
        <v>130022.48316081504</v>
      </c>
      <c r="H17" s="134">
        <f>B17/$B$19</f>
        <v>0.6682200865511008</v>
      </c>
      <c r="J17" s="121">
        <f>SUM(J14:J16)</f>
        <v>0.04066163852021728</v>
      </c>
    </row>
    <row r="18" ht="12.75">
      <c r="F18" s="175"/>
    </row>
    <row r="19" spans="1:10" ht="12.75">
      <c r="A19" s="480" t="s">
        <v>269</v>
      </c>
      <c r="B19" s="356">
        <f>SUM(B11,B17)</f>
        <v>3197669.5453668665</v>
      </c>
      <c r="C19" s="16"/>
      <c r="D19" s="16"/>
      <c r="E19" s="16"/>
      <c r="F19" s="510">
        <f>SUM(F11,F17)</f>
        <v>248929.45299110183</v>
      </c>
      <c r="G19" s="16"/>
      <c r="H19" s="509"/>
      <c r="I19" s="16"/>
      <c r="J19" s="354">
        <f>SUM(J11,J17)</f>
        <v>0.0778471475740131</v>
      </c>
    </row>
    <row r="21" spans="1:11" ht="12.75" hidden="1">
      <c r="A21" s="14" t="s">
        <v>191</v>
      </c>
      <c r="B21" s="143">
        <v>0</v>
      </c>
      <c r="G21" s="482" t="s">
        <v>311</v>
      </c>
      <c r="H21" s="6">
        <f>SUM('Table 3.14-Route UAA'!J101,'Table 3.14-Route UAA'!J108,'Table 3.14-Route UAA'!J111)</f>
        <v>98861.44287332833</v>
      </c>
      <c r="J21" s="6">
        <f>'Table 3.9-PARS Wst Summary'!J50+'Table 3.10-NonPARS Wst Summary'!J22</f>
        <v>98861.44287332831</v>
      </c>
      <c r="K21" s="143">
        <f aca="true" t="shared" si="2" ref="K21:K26">H21-J21</f>
        <v>0</v>
      </c>
    </row>
    <row r="22" spans="2:11" ht="12.75" hidden="1">
      <c r="B22" s="143">
        <v>0</v>
      </c>
      <c r="G22" s="46" t="s">
        <v>312</v>
      </c>
      <c r="H22" s="6">
        <f>SUM('Table 3.18-Nixie UAA'!I8,'Table 3.18-Nixie UAA'!I11,'Table 3.18-Nixie UAA'!I20,'Table 3.18-Nixie UAA'!I29,'Table 3.18-Nixie UAA'!I35,'Table 3.18-Nixie UAA'!I37)</f>
        <v>41754.53902471483</v>
      </c>
      <c r="J22" s="6">
        <f>'Table 3.9-PARS Wst Summary'!J51+'Table 3.10-NonPARS Wst Summary'!J23</f>
        <v>41754.53902471483</v>
      </c>
      <c r="K22" s="143">
        <f t="shared" si="2"/>
        <v>0</v>
      </c>
    </row>
    <row r="23" spans="2:11" ht="12.75" hidden="1">
      <c r="B23" s="143">
        <v>0</v>
      </c>
      <c r="G23" s="46" t="s">
        <v>313</v>
      </c>
      <c r="H23" s="6">
        <f>SUM('Table 3.20-CFS Non-CIOSS'!H19,'Table 3.20-CFS Non-CIOSS'!H76,'Table 3.21-CFS CIOSS Rejs'!H19,'Table 3.21-CFS CIOSS Rejs'!H76)</f>
        <v>14419.795638248115</v>
      </c>
      <c r="J23" s="6">
        <f>'Table 3.9-PARS Wst Summary'!J52+'Table 3.10-NonPARS Wst Summary'!J24</f>
        <v>14419.795638248115</v>
      </c>
      <c r="K23" s="143">
        <f t="shared" si="2"/>
        <v>0</v>
      </c>
    </row>
    <row r="24" spans="2:11" ht="12.75" hidden="1">
      <c r="B24" s="240"/>
      <c r="G24" s="483" t="s">
        <v>502</v>
      </c>
      <c r="H24" s="6">
        <f>SUM('Table 3.23-CIOSS Summary'!I6,'Table 3.23-CIOSS Summary'!I10,'Table 3.23-CIOSS Summary'!I13)</f>
        <v>56429.395832029186</v>
      </c>
      <c r="J24" s="6">
        <f>'Table 3.9-PARS Wst Summary'!J53</f>
        <v>56429.39583202917</v>
      </c>
      <c r="K24" s="143">
        <f t="shared" si="2"/>
        <v>0</v>
      </c>
    </row>
    <row r="25" spans="2:11" ht="12.75" hidden="1">
      <c r="B25" s="240"/>
      <c r="G25" s="483" t="s">
        <v>503</v>
      </c>
      <c r="H25" s="6">
        <f>SUM('Table 3.25-REC Summary'!K6,'Table 3.25-REC Summary'!K10,'Table 3.25-REC Summary'!K13)</f>
        <v>37464.27962278141</v>
      </c>
      <c r="J25" s="6">
        <f>'Table 3.9-PARS Wst Summary'!J54</f>
        <v>37464.27962278142</v>
      </c>
      <c r="K25" s="143">
        <f t="shared" si="2"/>
        <v>0</v>
      </c>
    </row>
    <row r="26" spans="2:11" ht="12.75" hidden="1">
      <c r="B26" s="240"/>
      <c r="G26" s="46" t="s">
        <v>314</v>
      </c>
      <c r="H26" s="6">
        <f>SUM(H21:H25)</f>
        <v>248929.45299110186</v>
      </c>
      <c r="J26" s="6">
        <f>SUM(J21:J25)</f>
        <v>248929.45299110183</v>
      </c>
      <c r="K26" s="143">
        <f t="shared" si="2"/>
        <v>0</v>
      </c>
    </row>
    <row r="27" spans="1:6" ht="12.75">
      <c r="A27" s="283"/>
      <c r="B27" s="283"/>
      <c r="C27" s="283"/>
      <c r="D27" s="283"/>
      <c r="E27" s="283"/>
      <c r="F27" s="283"/>
    </row>
    <row r="28" ht="12.75">
      <c r="A28" s="284" t="s">
        <v>235</v>
      </c>
    </row>
    <row r="29" spans="1:4" ht="12.75">
      <c r="A29" s="241" t="s">
        <v>640</v>
      </c>
      <c r="D29" s="12"/>
    </row>
    <row r="30" ht="12.75">
      <c r="A30" s="241" t="s">
        <v>641</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Christensen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jdreaser</dc:creator>
  <cp:keywords/>
  <dc:description/>
  <cp:lastModifiedBy>Sam Cutting</cp:lastModifiedBy>
  <cp:lastPrinted>2006-04-11T13:06:23Z</cp:lastPrinted>
  <dcterms:created xsi:type="dcterms:W3CDTF">2004-11-02T16:13:05Z</dcterms:created>
  <dcterms:modified xsi:type="dcterms:W3CDTF">2020-12-15T21:43:06Z</dcterms:modified>
  <cp:category/>
  <cp:version/>
  <cp:contentType/>
  <cp:contentStatus/>
</cp:coreProperties>
</file>