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040" tabRatio="744" firstSheet="39" activeTab="45"/>
  </bookViews>
  <sheets>
    <sheet name="Cover" sheetId="1" r:id="rId1"/>
    <sheet name="Table 3.1-UAA Summary" sheetId="2" r:id="rId2"/>
    <sheet name="Table 3.2-Total Fwd Summary" sheetId="3" r:id="rId3"/>
    <sheet name="Table 3.3-PARS Fwd Summary" sheetId="4" r:id="rId4"/>
    <sheet name="Table 3.4-NonPARS Fwd Summary" sheetId="5" r:id="rId5"/>
    <sheet name="Table 3.5-Total RTS Summary" sheetId="6" r:id="rId6"/>
    <sheet name="Table 3.6-PARS RTS Summary" sheetId="7" r:id="rId7"/>
    <sheet name="Table 3.7-NonPARS RTS Summary" sheetId="8" r:id="rId8"/>
    <sheet name="Table 3.8-Total Wst Summary" sheetId="9" r:id="rId9"/>
    <sheet name="Table 3.9-PARS Wst Summary" sheetId="10" r:id="rId10"/>
    <sheet name="Table 3.10-NonPARS Wst Summary" sheetId="11" r:id="rId11"/>
    <sheet name="Table 3.11-Form3547 Costs" sheetId="12" r:id="rId12"/>
    <sheet name="Table 3.12-Form3579 Costs" sheetId="13" r:id="rId13"/>
    <sheet name="Table 3.13-COA Costs" sheetId="14" r:id="rId14"/>
    <sheet name="Table 3.14-Route UAA" sheetId="15" r:id="rId15"/>
    <sheet name="Table 3.15-Route UAA NoPARS" sheetId="16" r:id="rId16"/>
    <sheet name="Table 3.16-Route UAA PARS" sheetId="17" r:id="rId17"/>
    <sheet name="Table 3.17-No Record Mail" sheetId="18" r:id="rId18"/>
    <sheet name="Table 3.18-Nixie UAA" sheetId="19" r:id="rId19"/>
    <sheet name="Table 3.19-CFS UAA" sheetId="20" r:id="rId20"/>
    <sheet name="Table 3.20-CFS Non-CIOSS" sheetId="21" r:id="rId21"/>
    <sheet name="Table 3.21-CFS CIOSS Rejs" sheetId="22" r:id="rId22"/>
    <sheet name="Table 3.22-CFS Key Rates" sheetId="23" r:id="rId23"/>
    <sheet name="Table 3.23-CIOSS Summary" sheetId="24" r:id="rId24"/>
    <sheet name="Table 3.24-CIOSS Detail" sheetId="25" r:id="rId25"/>
    <sheet name="Table 3.25-REC Summary" sheetId="26" r:id="rId26"/>
    <sheet name="Table 3.26-REC Detail NonACS" sheetId="27" r:id="rId27"/>
    <sheet name="Table 3.27-REC Detail ACS" sheetId="28" r:id="rId28"/>
    <sheet name="Table 3.28-REC Volume" sheetId="29" r:id="rId29"/>
    <sheet name="Table 3.29-UAA MP Units" sheetId="30" r:id="rId30"/>
    <sheet name="Table 3.30-UAA MP Cost" sheetId="31" r:id="rId31"/>
    <sheet name="Table 3.31-Rating Post Due" sheetId="32" r:id="rId32"/>
    <sheet name="Table 3.32-Accounting Post Due" sheetId="33" r:id="rId33"/>
    <sheet name="Table 3.33-Delivery Post Due" sheetId="34" r:id="rId34"/>
    <sheet name="Table 3.34-Window Post Due" sheetId="35" r:id="rId35"/>
    <sheet name="Table 3.35-PD Vols" sheetId="36" r:id="rId36"/>
    <sheet name="Table 3.36-Process Form 3546" sheetId="37" r:id="rId37"/>
    <sheet name="Table 3.37-Notice Inputs" sheetId="38" r:id="rId38"/>
    <sheet name="Table 3.38-Form 3547 Dist" sheetId="39" r:id="rId39"/>
    <sheet name="Table 3.39-Form 3579 Dist" sheetId="40" r:id="rId40"/>
    <sheet name="Table 3.40-Form Processing" sheetId="41" r:id="rId41"/>
    <sheet name="Table 3.41-Man Notice" sheetId="42" r:id="rId42"/>
    <sheet name="Table 3.42-Vol Flows" sheetId="43" r:id="rId43"/>
    <sheet name="Table 3.43-Elec Notice" sheetId="44" r:id="rId44"/>
    <sheet name="Table 3.44-One Code ACS" sheetId="45" r:id="rId45"/>
    <sheet name="checksum" sheetId="46" r:id="rId46"/>
  </sheets>
  <externalReferences>
    <externalReference r:id="rId49"/>
    <externalReference r:id="rId50"/>
    <externalReference r:id="rId51"/>
  </externalReferences>
  <definedNames>
    <definedName name="_xlnm.Print_Area" localSheetId="11">'Table 3.11-Form3547 Costs'!$A$1:$P$86</definedName>
    <definedName name="_xlnm.Print_Area" localSheetId="13">'Table 3.13-COA Costs'!$A$1:$N$88</definedName>
    <definedName name="_xlnm.Print_Area" localSheetId="14">'Table 3.14-Route UAA'!$A$1:$K$124</definedName>
    <definedName name="_xlnm.Print_Area" localSheetId="15">'Table 3.15-Route UAA NoPARS'!$A$1:$K$124</definedName>
    <definedName name="_xlnm.Print_Area" localSheetId="16">'Table 3.16-Route UAA PARS'!$A$1:$K$126</definedName>
    <definedName name="_xlnm.Print_Area" localSheetId="17">'Table 3.17-No Record Mail'!$A$1:$K$37</definedName>
    <definedName name="_xlnm.Print_Area" localSheetId="18">'Table 3.18-Nixie UAA'!$A$1:$J$52</definedName>
    <definedName name="_xlnm.Print_Area" localSheetId="19">'Table 3.19-CFS UAA'!$A$1:$K$117</definedName>
    <definedName name="_xlnm.Print_Area" localSheetId="1">'Table 3.1-UAA Summary'!$A$1:$N$85</definedName>
    <definedName name="_xlnm.Print_Area" localSheetId="21">'Table 3.21-CFS CIOSS Rejs'!$A$1:$I$118</definedName>
    <definedName name="_xlnm.Print_Area" localSheetId="22">'Table 3.22-CFS Key Rates'!$A$1:$K$32</definedName>
    <definedName name="_xlnm.Print_Area" localSheetId="26">'Table 3.26-REC Detail NonACS'!$A$1:$L$67</definedName>
    <definedName name="_xlnm.Print_Area" localSheetId="27">'Table 3.27-REC Detail ACS'!$A$1:$L$67</definedName>
    <definedName name="_xlnm.Print_Area" localSheetId="29">'Table 3.29-UAA MP Units'!$A$1:$G$33</definedName>
    <definedName name="_xlnm.Print_Area" localSheetId="31">'Table 3.31-Rating Post Due'!$A$1:$I$33</definedName>
    <definedName name="_xlnm.Print_Area" localSheetId="32">'Table 3.32-Accounting Post Due'!$A$1:$I$25</definedName>
    <definedName name="_xlnm.Print_Area" localSheetId="33">'Table 3.33-Delivery Post Due'!$A$1:$I$39</definedName>
    <definedName name="_xlnm.Print_Area" localSheetId="34">'Table 3.34-Window Post Due'!$A$1:$I$13</definedName>
    <definedName name="_xlnm.Print_Area" localSheetId="36">'Table 3.36-Process Form 3546'!$A$1:$J$24</definedName>
    <definedName name="_xlnm.Print_Area" localSheetId="40">'Table 3.40-Form Processing'!$A$1:$J$14</definedName>
    <definedName name="_xlnm.Print_Area" localSheetId="41">'Table 3.41-Man Notice'!$A$1:$F$44</definedName>
    <definedName name="_xlnm.Print_Area" localSheetId="43">'Table 3.43-Elec Notice'!$A$1:$R$45</definedName>
    <definedName name="_xlnm.Print_Area" localSheetId="44">'Table 3.44-One Code ACS'!$A$1:$R$45</definedName>
  </definedNames>
  <calcPr fullCalcOnLoad="1" iterate="1" iterateCount="100" iterateDelta="0.001"/>
</workbook>
</file>

<file path=xl/comments10.xml><?xml version="1.0" encoding="utf-8"?>
<comments xmlns="http://schemas.openxmlformats.org/spreadsheetml/2006/main">
  <authors>
    <author>stcutting</author>
  </authors>
  <commentList>
    <comment ref="B17" authorId="0">
      <text>
        <r>
          <rPr>
            <b/>
            <sz val="8"/>
            <rFont val="Tahoma"/>
            <family val="2"/>
          </rPr>
          <t>stcutting:</t>
        </r>
        <r>
          <rPr>
            <sz val="8"/>
            <rFont val="Tahoma"/>
            <family val="2"/>
          </rPr>
          <t xml:space="preserve">
It is necessary to subtract out CIF waste.</t>
        </r>
      </text>
    </comment>
    <comment ref="B27" authorId="0">
      <text>
        <r>
          <rPr>
            <b/>
            <sz val="8"/>
            <rFont val="Tahoma"/>
            <family val="2"/>
          </rPr>
          <t>stcutting:</t>
        </r>
        <r>
          <rPr>
            <sz val="8"/>
            <rFont val="Tahoma"/>
            <family val="2"/>
          </rPr>
          <t xml:space="preserve">
It is necessary to subtract out INT waste.</t>
        </r>
      </text>
    </comment>
  </commentList>
</comments>
</file>

<file path=xl/comments11.xml><?xml version="1.0" encoding="utf-8"?>
<comments xmlns="http://schemas.openxmlformats.org/spreadsheetml/2006/main">
  <authors>
    <author>stcutting</author>
  </authors>
  <commentList>
    <comment ref="B5" authorId="0">
      <text>
        <r>
          <rPr>
            <b/>
            <sz val="8"/>
            <rFont val="Tahoma"/>
            <family val="2"/>
          </rPr>
          <t>stcutting:</t>
        </r>
        <r>
          <rPr>
            <sz val="8"/>
            <rFont val="Tahoma"/>
            <family val="2"/>
          </rPr>
          <t xml:space="preserve">
Carrier-identified non-forwardable waste is included in  PARS route table but is categorized here as non-PARS since these pieces never make it to the CIOSS for processing.</t>
        </r>
      </text>
    </comment>
  </commentList>
</comments>
</file>

<file path=xl/comments12.xml><?xml version="1.0" encoding="utf-8"?>
<comments xmlns="http://schemas.openxmlformats.org/spreadsheetml/2006/main">
  <authors>
    <author>stcutting</author>
  </authors>
  <commentList>
    <comment ref="J5" authorId="0">
      <text>
        <r>
          <rPr>
            <b/>
            <sz val="8"/>
            <rFont val="Tahoma"/>
            <family val="2"/>
          </rPr>
          <t>stcutting:</t>
        </r>
        <r>
          <rPr>
            <sz val="8"/>
            <rFont val="Tahoma"/>
            <family val="2"/>
          </rPr>
          <t xml:space="preserve">
Forms generated on CIOSS have a one-to-one form-to -envelope factor.</t>
        </r>
      </text>
    </comment>
  </commentList>
</comments>
</file>

<file path=xl/comments14.xml><?xml version="1.0" encoding="utf-8"?>
<comments xmlns="http://schemas.openxmlformats.org/spreadsheetml/2006/main">
  <authors>
    <author>stcutting</author>
  </authors>
  <commentList>
    <comment ref="C6" authorId="0">
      <text>
        <r>
          <rPr>
            <b/>
            <sz val="8"/>
            <rFont val="Tahoma"/>
            <family val="2"/>
          </rPr>
          <t>stcutting:</t>
        </r>
        <r>
          <rPr>
            <sz val="8"/>
            <rFont val="Tahoma"/>
            <family val="2"/>
          </rPr>
          <t xml:space="preserve">
Handing out forms, helping to complete forms.</t>
        </r>
      </text>
    </comment>
    <comment ref="D67" authorId="0">
      <text>
        <r>
          <rPr>
            <b/>
            <sz val="8"/>
            <rFont val="Tahoma"/>
            <family val="2"/>
          </rPr>
          <t>stcutting:</t>
        </r>
        <r>
          <rPr>
            <sz val="8"/>
            <rFont val="Tahoma"/>
            <family val="2"/>
          </rPr>
          <t xml:space="preserve">
These volumes do not contribute to the COA total.  They are already included above.</t>
        </r>
      </text>
    </comment>
  </commentList>
</comments>
</file>

<file path=xl/comments15.xml><?xml version="1.0" encoding="utf-8"?>
<comments xmlns="http://schemas.openxmlformats.org/spreadsheetml/2006/main">
  <authors>
    <author>stcutting</author>
  </authors>
  <commentList>
    <comment ref="A6" authorId="0">
      <text>
        <r>
          <rPr>
            <b/>
            <sz val="8"/>
            <rFont val="Tahoma"/>
            <family val="2"/>
          </rPr>
          <t>stcutting:</t>
        </r>
        <r>
          <rPr>
            <sz val="8"/>
            <rFont val="Tahoma"/>
            <family val="2"/>
          </rPr>
          <t xml:space="preserve">
Includes RTS mail mistakenly put in UBBM tub and later retrieved by Nixie clerk.</t>
        </r>
      </text>
    </comment>
  </commentList>
</comments>
</file>

<file path=xl/comments16.xml><?xml version="1.0" encoding="utf-8"?>
<comments xmlns="http://schemas.openxmlformats.org/spreadsheetml/2006/main">
  <authors>
    <author>stcutting</author>
  </authors>
  <commentList>
    <comment ref="A6" authorId="0">
      <text>
        <r>
          <rPr>
            <b/>
            <sz val="8"/>
            <rFont val="Tahoma"/>
            <family val="2"/>
          </rPr>
          <t>stcutting:</t>
        </r>
        <r>
          <rPr>
            <sz val="8"/>
            <rFont val="Tahoma"/>
            <family val="2"/>
          </rPr>
          <t xml:space="preserve">
Includes RTS mail mistakenly put in UBBM tub and later retrieved by Nixie clerk.</t>
        </r>
      </text>
    </comment>
  </commentList>
</comments>
</file>

<file path=xl/comments17.xml><?xml version="1.0" encoding="utf-8"?>
<comments xmlns="http://schemas.openxmlformats.org/spreadsheetml/2006/main">
  <authors>
    <author>stcutting</author>
  </authors>
  <commentList>
    <comment ref="A6" authorId="0">
      <text>
        <r>
          <rPr>
            <b/>
            <sz val="8"/>
            <rFont val="Tahoma"/>
            <family val="2"/>
          </rPr>
          <t>stcutting:</t>
        </r>
        <r>
          <rPr>
            <sz val="8"/>
            <rFont val="Tahoma"/>
            <family val="2"/>
          </rPr>
          <t xml:space="preserve">
Includes RTS mail mistakenly put in UBBM tub and later retrieved by Nixie clerk.</t>
        </r>
      </text>
    </comment>
  </commentList>
</comments>
</file>

<file path=xl/comments19.xml><?xml version="1.0" encoding="utf-8"?>
<comments xmlns="http://schemas.openxmlformats.org/spreadsheetml/2006/main">
  <authors>
    <author>stcutting</author>
  </authors>
  <commentList>
    <comment ref="A16" authorId="0">
      <text>
        <r>
          <rPr>
            <b/>
            <sz val="8"/>
            <rFont val="Tahoma"/>
            <family val="2"/>
          </rPr>
          <t>stcutting:</t>
        </r>
        <r>
          <rPr>
            <sz val="8"/>
            <rFont val="Tahoma"/>
            <family val="2"/>
          </rPr>
          <t xml:space="preserve">
Postage due activities subtracted out.</t>
        </r>
      </text>
    </comment>
    <comment ref="A24" authorId="0">
      <text>
        <r>
          <rPr>
            <b/>
            <sz val="8"/>
            <rFont val="Tahoma"/>
            <family val="2"/>
          </rPr>
          <t>stcutting:</t>
        </r>
        <r>
          <rPr>
            <sz val="8"/>
            <rFont val="Tahoma"/>
            <family val="2"/>
          </rPr>
          <t xml:space="preserve">
Postage due activities subtracted out.</t>
        </r>
      </text>
    </comment>
    <comment ref="A25" authorId="0">
      <text>
        <r>
          <rPr>
            <b/>
            <sz val="8"/>
            <rFont val="Tahoma"/>
            <family val="2"/>
          </rPr>
          <t>stcutting:</t>
        </r>
        <r>
          <rPr>
            <sz val="8"/>
            <rFont val="Tahoma"/>
            <family val="2"/>
          </rPr>
          <t xml:space="preserve">
Postage due activities subtracted out.</t>
        </r>
      </text>
    </comment>
    <comment ref="A33" authorId="0">
      <text>
        <r>
          <rPr>
            <b/>
            <sz val="8"/>
            <rFont val="Tahoma"/>
            <family val="2"/>
          </rPr>
          <t>stcutting:</t>
        </r>
        <r>
          <rPr>
            <sz val="8"/>
            <rFont val="Tahoma"/>
            <family val="2"/>
          </rPr>
          <t xml:space="preserve">
Includes INT old COA, CIR COA, and CIR Bad Add.</t>
        </r>
      </text>
    </comment>
  </commentList>
</comments>
</file>

<file path=xl/comments2.xml><?xml version="1.0" encoding="utf-8"?>
<comments xmlns="http://schemas.openxmlformats.org/spreadsheetml/2006/main">
  <authors>
    <author>stcutting</author>
  </authors>
  <commentList>
    <comment ref="F50" authorId="0">
      <text>
        <r>
          <rPr>
            <b/>
            <sz val="8"/>
            <rFont val="Tahoma"/>
            <family val="2"/>
          </rPr>
          <t>stcutting:</t>
        </r>
        <r>
          <rPr>
            <sz val="8"/>
            <rFont val="Tahoma"/>
            <family val="2"/>
          </rPr>
          <t xml:space="preserve">
All ACS pieces go through the CIOSS.  Some are finalized in the AFR without needing REC keying.  Some are rejected from the CIOSS and must go to CFS.</t>
        </r>
      </text>
    </comment>
    <comment ref="F51" authorId="0">
      <text>
        <r>
          <rPr>
            <b/>
            <sz val="8"/>
            <rFont val="Tahoma"/>
            <family val="2"/>
          </rPr>
          <t>stcutting:</t>
        </r>
        <r>
          <rPr>
            <sz val="8"/>
            <rFont val="Tahoma"/>
            <family val="2"/>
          </rPr>
          <t xml:space="preserve">
ditto</t>
        </r>
      </text>
    </comment>
    <comment ref="I52" authorId="0">
      <text>
        <r>
          <rPr>
            <b/>
            <sz val="8"/>
            <rFont val="Tahoma"/>
            <family val="2"/>
          </rPr>
          <t>stcutting:</t>
        </r>
        <r>
          <rPr>
            <sz val="8"/>
            <rFont val="Tahoma"/>
            <family val="2"/>
          </rPr>
          <t xml:space="preserve">
not counted in total volume.</t>
        </r>
      </text>
    </comment>
  </commentList>
</comments>
</file>

<file path=xl/comments27.xml><?xml version="1.0" encoding="utf-8"?>
<comments xmlns="http://schemas.openxmlformats.org/spreadsheetml/2006/main">
  <authors>
    <author>stcutting</author>
  </authors>
  <commentList>
    <comment ref="G8" authorId="0">
      <text>
        <r>
          <rPr>
            <b/>
            <sz val="8"/>
            <rFont val="Tahoma"/>
            <family val="2"/>
          </rPr>
          <t>stcutting:</t>
        </r>
        <r>
          <rPr>
            <sz val="8"/>
            <rFont val="Tahoma"/>
            <family val="2"/>
          </rPr>
          <t xml:space="preserve">
Non-ACS keying of ACS pieces is cheaper than non-ACS keying of non-ACS pieces because only a subset of ACS pieces in column E require non-ACS keying.  The non-ACS productivity for ACS pieces has been adjusted to account for this.</t>
        </r>
      </text>
    </comment>
  </commentList>
</comments>
</file>

<file path=xl/comments38.xml><?xml version="1.0" encoding="utf-8"?>
<comments xmlns="http://schemas.openxmlformats.org/spreadsheetml/2006/main">
  <authors>
    <author>stcutting</author>
  </authors>
  <commentList>
    <comment ref="B19" authorId="0">
      <text>
        <r>
          <rPr>
            <b/>
            <sz val="8"/>
            <rFont val="Tahoma"/>
            <family val="2"/>
          </rPr>
          <t>stcutting:</t>
        </r>
        <r>
          <rPr>
            <sz val="8"/>
            <rFont val="Tahoma"/>
            <family val="2"/>
          </rPr>
          <t xml:space="preserve">
linked to CFS dist to capture change in volume.</t>
        </r>
      </text>
    </comment>
  </commentList>
</comments>
</file>

<file path=xl/comments4.xml><?xml version="1.0" encoding="utf-8"?>
<comments xmlns="http://schemas.openxmlformats.org/spreadsheetml/2006/main">
  <authors>
    <author>stcutting</author>
  </authors>
  <commentList>
    <comment ref="B19" authorId="0">
      <text>
        <r>
          <rPr>
            <b/>
            <sz val="8"/>
            <rFont val="Tahoma"/>
            <family val="2"/>
          </rPr>
          <t>stcutting:</t>
        </r>
        <r>
          <rPr>
            <sz val="8"/>
            <rFont val="Tahoma"/>
            <family val="2"/>
          </rPr>
          <t xml:space="preserve">
It is necessary to subtract out INT Fwds.</t>
        </r>
      </text>
    </comment>
    <comment ref="B9" authorId="0">
      <text>
        <r>
          <rPr>
            <b/>
            <sz val="8"/>
            <rFont val="Tahoma"/>
            <family val="2"/>
          </rPr>
          <t>stcutting:</t>
        </r>
        <r>
          <rPr>
            <sz val="8"/>
            <rFont val="Tahoma"/>
            <family val="2"/>
          </rPr>
          <t xml:space="preserve">
It is necessary to subtract out CIF forwards.</t>
        </r>
      </text>
    </comment>
  </commentList>
</comments>
</file>

<file path=xl/comments7.xml><?xml version="1.0" encoding="utf-8"?>
<comments xmlns="http://schemas.openxmlformats.org/spreadsheetml/2006/main">
  <authors>
    <author>stcutting</author>
  </authors>
  <commentList>
    <comment ref="B17" authorId="0">
      <text>
        <r>
          <rPr>
            <b/>
            <sz val="8"/>
            <rFont val="Tahoma"/>
            <family val="2"/>
          </rPr>
          <t>stcutting:</t>
        </r>
        <r>
          <rPr>
            <sz val="8"/>
            <rFont val="Tahoma"/>
            <family val="2"/>
          </rPr>
          <t xml:space="preserve">
It is necessary to subtract out CIF RTS.</t>
        </r>
      </text>
    </comment>
    <comment ref="B27" authorId="0">
      <text>
        <r>
          <rPr>
            <b/>
            <sz val="8"/>
            <rFont val="Tahoma"/>
            <family val="2"/>
          </rPr>
          <t>stcutting:</t>
        </r>
        <r>
          <rPr>
            <sz val="8"/>
            <rFont val="Tahoma"/>
            <family val="2"/>
          </rPr>
          <t xml:space="preserve">
It is necessary to subtract out INT RTS.</t>
        </r>
      </text>
    </comment>
    <comment ref="B9" authorId="0">
      <text>
        <r>
          <rPr>
            <b/>
            <sz val="8"/>
            <rFont val="Tahoma"/>
            <family val="2"/>
          </rPr>
          <t>stcutting:</t>
        </r>
        <r>
          <rPr>
            <sz val="8"/>
            <rFont val="Tahoma"/>
            <family val="2"/>
          </rPr>
          <t xml:space="preserve">
It is necessary to subtract out  mail that is CIR (both old COA and BadAdd CIR).</t>
        </r>
      </text>
    </comment>
    <comment ref="B37" authorId="0">
      <text>
        <r>
          <rPr>
            <b/>
            <sz val="8"/>
            <rFont val="Tahoma"/>
            <family val="2"/>
          </rPr>
          <t>stcutting:</t>
        </r>
        <r>
          <rPr>
            <sz val="8"/>
            <rFont val="Tahoma"/>
            <family val="2"/>
          </rPr>
          <t xml:space="preserve">
It is necessary to subtract out mail that is INT old COA.</t>
        </r>
      </text>
    </comment>
    <comment ref="B48" authorId="0">
      <text>
        <r>
          <rPr>
            <b/>
            <sz val="8"/>
            <rFont val="Tahoma"/>
            <family val="2"/>
          </rPr>
          <t>stcutting:</t>
        </r>
        <r>
          <rPr>
            <sz val="8"/>
            <rFont val="Tahoma"/>
            <family val="2"/>
          </rPr>
          <t xml:space="preserve">
It is necessary to subtract out CIF RTS.</t>
        </r>
      </text>
    </comment>
  </commentList>
</comments>
</file>

<file path=xl/comments8.xml><?xml version="1.0" encoding="utf-8"?>
<comments xmlns="http://schemas.openxmlformats.org/spreadsheetml/2006/main">
  <authors>
    <author>stcutting</author>
  </authors>
  <commentList>
    <comment ref="B7" authorId="0">
      <text>
        <r>
          <rPr>
            <b/>
            <sz val="8"/>
            <rFont val="Tahoma"/>
            <family val="2"/>
          </rPr>
          <t>stcutting:</t>
        </r>
        <r>
          <rPr>
            <sz val="8"/>
            <rFont val="Tahoma"/>
            <family val="2"/>
          </rPr>
          <t xml:space="preserve">
This value is lower than the pre-PARS value of 30,xxx because (1) some FOE RTS pieces are intercepted at the plant and require no manual pd rating, (2) some CIR RTS pieces require no manual pd rating in the nixie unit.</t>
        </r>
      </text>
    </comment>
  </commentList>
</comments>
</file>

<file path=xl/sharedStrings.xml><?xml version="1.0" encoding="utf-8"?>
<sst xmlns="http://schemas.openxmlformats.org/spreadsheetml/2006/main" count="3280" uniqueCount="824">
  <si>
    <t>(7) ACS stands for "Address Change Service," the electronic notice address correction system.</t>
  </si>
  <si>
    <t>(8) Mechanized terminals are not operational in the PARS environment.</t>
  </si>
  <si>
    <t>Non-ACS (4)</t>
  </si>
  <si>
    <t>ACS COA (4)</t>
  </si>
  <si>
    <t>ACS Nixie (4)</t>
  </si>
  <si>
    <t>(4) ACS stands for "Address Change Service," the electronic notice address correction system.</t>
  </si>
  <si>
    <t>Moved, Old COA (5)</t>
  </si>
  <si>
    <t>(5) Mail with an old forwarding order (COA age between 13 and 18 months).</t>
  </si>
  <si>
    <t>(7) Mail associated with an active COA or old COA that is identified by a carrier.</t>
  </si>
  <si>
    <t>(6) Under the One Code ACS system, all ACS letters not rejected from the CIOSS are AFR finalized.</t>
  </si>
  <si>
    <t>Volume Weighted Cost for Manual Notices</t>
  </si>
  <si>
    <t xml:space="preserve">      CIOSS/NCSC forms have a lower unit cost due to presorting.</t>
  </si>
  <si>
    <t>Plant-Intercepted Old COA RTS</t>
  </si>
  <si>
    <t>(2) Developed from FCS database 04,  Appendix C, USPS-LR-L-61.</t>
  </si>
  <si>
    <t>Table 3.25 -  Summary of Costs for REC Site Activities, Machinable UAA Letters and COA Cards</t>
  </si>
  <si>
    <t>(5) ACS nixie mail that is intercepted at the plant (old COA only) and returned.</t>
  </si>
  <si>
    <t>(18) Refer to Table 7.21 after subtracting out carrier-identified ACS nixie returned mail.</t>
  </si>
  <si>
    <t>(6) ACS nixie mail that is identified by carriers at the original delivery unit as being RTS.</t>
  </si>
  <si>
    <t>Table 3.6 - Cost of Returned-to-Sender UAA Mail, PARS Pieces -- Part 1</t>
  </si>
  <si>
    <t>Table 3.6 - Cost of Returned-to-Sender UAA Mail, PARS Pieces -- Part 2</t>
  </si>
  <si>
    <t>Table 3.17 - Cost of Processing No-Record Mail</t>
  </si>
  <si>
    <t>(3) Reported costs include savings for the obsolete automation portion of the RTS program (OCR/BCS, LMLM, prep, and endorsement).</t>
  </si>
  <si>
    <t>(6) Refer to Table 3.31.</t>
  </si>
  <si>
    <t>(3) Refer to Table 3.42 and 3.43.</t>
  </si>
  <si>
    <t>(9) Reported costs include savings for the obsolete automation portion of the RTS program (REC image keying).</t>
  </si>
  <si>
    <t>(4) Reported costs include savings for the obsolete automation portion of the RTS program (REC image keying).</t>
  </si>
  <si>
    <t>(9) Reported costs include savings for the obsolete automation portion of the RTS program (OCR/BCS, LMLM, prep, and endorsement).</t>
  </si>
  <si>
    <t>(8) UAA non-PARS mail wasted based on USPS UAA regs.  Refer to Table 3.10.</t>
  </si>
  <si>
    <t>(10) For PARS pieces, refer to Table 3.19 (CFS Cost), Table 3.25 (REC Cost), and</t>
  </si>
  <si>
    <t xml:space="preserve">       Table 3.23 (CIOSS Volumes).  For non-PARS pieces, refer to Table 3.19.</t>
  </si>
  <si>
    <t>(19) Refer to Table 7.21 after subtracting out plant-intercepted ACS nixie returned mail.</t>
  </si>
  <si>
    <t>(4) ACS nixie mail that is intercepted at the plant (old COA mail only) and wasted.</t>
  </si>
  <si>
    <t>(5) ACS nixie mail that is identified by carriers at the original delivery unit as being waste.</t>
  </si>
  <si>
    <t>(15) Refer to Table 7.21 after subtracting out carrier-identified ACS nixie waste mail.</t>
  </si>
  <si>
    <t>(16) Refer to Table 7.21 after subtracting plant-intercepted ACS nixie waste mail.</t>
  </si>
  <si>
    <t>(3) Address Change Service (ACS) mail sent to the nixie unit and then to the CFS unit.</t>
  </si>
  <si>
    <t>(2) Refer to Table 3.27.</t>
  </si>
  <si>
    <t>(4)  Volume based on Table 3.29 after subtracting out PARS non-machinable letters.</t>
  </si>
  <si>
    <t>(5) Mail associated with a COA that is identified by a carrier.</t>
  </si>
  <si>
    <r>
      <t xml:space="preserve">ACS Keying Cost
</t>
    </r>
    <r>
      <rPr>
        <u val="single"/>
        <sz val="10"/>
        <rFont val="Arial"/>
        <family val="2"/>
      </rPr>
      <t>(000s) (2)</t>
    </r>
  </si>
  <si>
    <r>
      <t xml:space="preserve">Non-ACS Keying Cost
</t>
    </r>
    <r>
      <rPr>
        <u val="single"/>
        <sz val="10"/>
        <rFont val="Arial"/>
        <family val="2"/>
      </rPr>
      <t>(000s)</t>
    </r>
  </si>
  <si>
    <r>
      <t xml:space="preserve">ACS Keying Cost
</t>
    </r>
    <r>
      <rPr>
        <u val="single"/>
        <sz val="10"/>
        <rFont val="Arial"/>
        <family val="2"/>
      </rPr>
      <t>(000s)</t>
    </r>
  </si>
  <si>
    <t>(5) ACS stands for "Address Change Service," the electronic notice address correction system.</t>
  </si>
  <si>
    <t>(17) Excludes Address Change Service (ACS) keying.</t>
  </si>
  <si>
    <t>(25) Excludes Address Change Service (ACS) keying.</t>
  </si>
  <si>
    <t>(6) Nixie clerk handling of ACS nixie mail is excluded.  Refer to Table 7.18.</t>
  </si>
  <si>
    <t>Keying (5)</t>
  </si>
  <si>
    <t>(12) Refer to Table 3.11 and 3.12.</t>
  </si>
  <si>
    <t>Moved, old COA (5)</t>
  </si>
  <si>
    <t>Moved, old COA (3)</t>
  </si>
  <si>
    <t>(3) Mail with an old forwarding order (COA age between 13 and 18 months).</t>
  </si>
  <si>
    <t>ACS Nixie Pieces (8)</t>
  </si>
  <si>
    <t>ACS COA Mail Pieces (8)</t>
  </si>
  <si>
    <t>(8) ACS stands for "Address Change Service."</t>
  </si>
  <si>
    <t>Table 3.23 -  Summary of Costs for CIOSS Activities, Machinable UAA Letters</t>
  </si>
  <si>
    <t>Table 3.15 - Cost of UAA at the Delivery Unit Route, Non-PARS Pieces (Parts 2 and 3)</t>
  </si>
  <si>
    <t>Table 3.15 - Cost of UAA at the Delivery Unit Route, Non-PARS Pieces (Parts 4 &amp; 5)</t>
  </si>
  <si>
    <t>Table 3.16 - Cost of UAA at the Originating Delivery Unit Route, PARS Pieces (Part 1)</t>
  </si>
  <si>
    <t>Table 3.16 - Cost of UAA at the Delivery Unit Route, PARS Pieces (Parts 2 and 3)</t>
  </si>
  <si>
    <t>Table 3.16 - Cost of UAA at the Delivery Unit Route, PARS Pieces (Parts 4 &amp; 5)</t>
  </si>
  <si>
    <t>pieces never flow back to the plant for CIOSS processing, their cost is attributed to non-PARS pieces.</t>
  </si>
  <si>
    <t>(5)  Machinable letter that are non-forwardable but not intercepted at the plant are categorized as PARS pieces.  However, since these</t>
  </si>
  <si>
    <t>Table 3.14 - Cost of UAA at the Originating Delivery Unit Route, All Pieces (Part 1)</t>
  </si>
  <si>
    <t>Table 3.14 - Cost of UAA at the Delivery Unit Route, All Pieces (Parts 2 and 3)</t>
  </si>
  <si>
    <t>Table 3.14 - Cost of UAA at the Delivery Unit Route, All Pieces (Parts 4 &amp; 5)</t>
  </si>
  <si>
    <t>(1) COA mail that is intercepted at the plant and forwarded.</t>
  </si>
  <si>
    <t>(2) COA mail that is intercepted at the plant and returned.</t>
  </si>
  <si>
    <t>(1) Non-forwardable COA mail that is intercepted at the plant and wasted.</t>
  </si>
  <si>
    <t>(2) COA mail that is intercepted at the plant and wasted.</t>
  </si>
  <si>
    <t>(3) COA mail that is identified by carriers at the original delivery unit as being waste.</t>
  </si>
  <si>
    <t>(6) Refer to Table 3.24.</t>
  </si>
  <si>
    <t>(8) Refer to Table 3.18.</t>
  </si>
  <si>
    <t>(9) Refer to Table 3.26.</t>
  </si>
  <si>
    <t>(10) Refer to Table 3.21 after subtracting out carrier-identified wasted mail.</t>
  </si>
  <si>
    <t>(12) Refer to Table 3.16.</t>
  </si>
  <si>
    <t>(13) Refer to Table 3.18.</t>
  </si>
  <si>
    <t>(14) Refer to Table 3.21 after subtracting out plant-intercepted wasted mail.</t>
  </si>
  <si>
    <t>(10) Refer to Table 3.18 after subtracting out carrier-identified nixie returned mail.</t>
  </si>
  <si>
    <t>(16) Refer to Table 3.21 after subtracting out plant-intercepted returned COA mail.</t>
  </si>
  <si>
    <t>(13) Refer to Table 3.21 after subtracting out carrier-identified returned COA mail.</t>
  </si>
  <si>
    <t>Delivery Unit Waste (1)</t>
  </si>
  <si>
    <t>CFS Unit COA Mail Waste (2)</t>
  </si>
  <si>
    <t>CFS Unit ACS Nixie Waste (3)</t>
  </si>
  <si>
    <t>(1) Mail that is wasted at the delivery unit.</t>
  </si>
  <si>
    <t>(2) Mail directly sent to CFS unit which is then wasted.</t>
  </si>
  <si>
    <t>(4) Refer to Table 3.15 and 3.16.</t>
  </si>
  <si>
    <t>(6) Refer to Table 3.15.</t>
  </si>
  <si>
    <t>Table 3.11 - Cost of Form 3547: Part 3 - All Forms</t>
  </si>
  <si>
    <t>(5) Refer to Table 3.38.</t>
  </si>
  <si>
    <t>Table 3.13 - Costs of Processing COA Cards (Form 3575, 3575Z, and 3546): Part 2 - Processing Modified/Deleted COAs</t>
  </si>
  <si>
    <t>Table 3.13 - Costs of Processing COA Cards (Form 3575, 3575Z, and 3546): Part 3 - REC Site Processing</t>
  </si>
  <si>
    <t>(4) Refer to Table 3.17.</t>
  </si>
  <si>
    <t>(1) Refer to Table 3.19.</t>
  </si>
  <si>
    <t>(4) Refer to Table 3.21.</t>
  </si>
  <si>
    <t>(3) Refer to Table 3.26.</t>
  </si>
  <si>
    <t>AFR Finalization</t>
  </si>
  <si>
    <t>CFS Processing</t>
  </si>
  <si>
    <t>Frequency</t>
  </si>
  <si>
    <t>Originating Postage Due Unit</t>
  </si>
  <si>
    <t>Destinating Accountable Mail Unit</t>
  </si>
  <si>
    <t>Collection Postage Due - Carrier</t>
  </si>
  <si>
    <t>Prepare and Mail Form 3546</t>
  </si>
  <si>
    <t>Total</t>
  </si>
  <si>
    <t>Volume</t>
  </si>
  <si>
    <t>Cost/Piece</t>
  </si>
  <si>
    <r>
      <t xml:space="preserve">Cost </t>
    </r>
    <r>
      <rPr>
        <u val="single"/>
        <sz val="10"/>
        <rFont val="Arial"/>
        <family val="2"/>
      </rPr>
      <t>Contribution</t>
    </r>
  </si>
  <si>
    <t>n/a</t>
  </si>
  <si>
    <t>HWY Contract</t>
  </si>
  <si>
    <t>ACS Nixie Processing</t>
  </si>
  <si>
    <r>
      <t>Volume</t>
    </r>
    <r>
      <rPr>
        <u val="single"/>
        <sz val="10"/>
        <rFont val="Arial"/>
        <family val="2"/>
      </rPr>
      <t xml:space="preserve"> (000s)</t>
    </r>
  </si>
  <si>
    <r>
      <t xml:space="preserve">Total Cost </t>
    </r>
    <r>
      <rPr>
        <u val="single"/>
        <sz val="10"/>
        <rFont val="Arial"/>
        <family val="2"/>
      </rPr>
      <t>(000s)</t>
    </r>
  </si>
  <si>
    <t>Form 3547 ave. batch size</t>
  </si>
  <si>
    <t>Form 3579 ave. batch size</t>
  </si>
  <si>
    <t>Form 3547 Distribution by category</t>
  </si>
  <si>
    <t>Photo and Treat as Waste</t>
  </si>
  <si>
    <t>Total Form 3547 Volume</t>
  </si>
  <si>
    <t>Total Form 3579 Volume</t>
  </si>
  <si>
    <t>Weighted</t>
  </si>
  <si>
    <t>Cost per piece</t>
  </si>
  <si>
    <t>Form 3547</t>
  </si>
  <si>
    <t>Photo and Forward</t>
  </si>
  <si>
    <t>Mailstream</t>
  </si>
  <si>
    <t>Accountable Mail Clerk</t>
  </si>
  <si>
    <t>Carrier Delivery/Collection of Postage Due</t>
  </si>
  <si>
    <t>On-Piece Corrections</t>
  </si>
  <si>
    <t>Total Form 3547</t>
  </si>
  <si>
    <t>Form 3579</t>
  </si>
  <si>
    <t>Total 3579</t>
  </si>
  <si>
    <t xml:space="preserve">Total </t>
  </si>
  <si>
    <t>ACS COA Notification</t>
  </si>
  <si>
    <t>Mechanized Terminal</t>
  </si>
  <si>
    <t>% of ACS</t>
  </si>
  <si>
    <t>TOTAL COST PER PIECE</t>
  </si>
  <si>
    <r>
      <t xml:space="preserve">Total </t>
    </r>
    <r>
      <rPr>
        <u val="single"/>
        <sz val="10"/>
        <rFont val="Arial"/>
        <family val="2"/>
      </rPr>
      <t>Cost/Piece</t>
    </r>
  </si>
  <si>
    <r>
      <t>Total</t>
    </r>
    <r>
      <rPr>
        <u val="single"/>
        <sz val="10"/>
        <rFont val="Arial"/>
        <family val="2"/>
      </rPr>
      <t xml:space="preserve"> Cost/Piece</t>
    </r>
  </si>
  <si>
    <t>City Carriers</t>
  </si>
  <si>
    <t>Rural Carriers</t>
  </si>
  <si>
    <t>PO Boxes</t>
  </si>
  <si>
    <t>Delivery Unit</t>
  </si>
  <si>
    <t>Weight</t>
  </si>
  <si>
    <r>
      <t xml:space="preserve">Actual Cost </t>
    </r>
    <r>
      <rPr>
        <u val="single"/>
        <sz val="10"/>
        <rFont val="Arial"/>
        <family val="2"/>
      </rPr>
      <t>Per Piece</t>
    </r>
  </si>
  <si>
    <t>1. CFS</t>
  </si>
  <si>
    <t>2. Mailstream</t>
  </si>
  <si>
    <t>3. Accountable Mail Clerk</t>
  </si>
  <si>
    <t>4. Carrier Delivery/Collection of Postage Due</t>
  </si>
  <si>
    <t>Total - Photo and Waste</t>
  </si>
  <si>
    <t>Total - Photo and Forward</t>
  </si>
  <si>
    <t>Letters</t>
  </si>
  <si>
    <t>Flats</t>
  </si>
  <si>
    <t>Parcels</t>
  </si>
  <si>
    <t>Total Delivery Unit Forward</t>
  </si>
  <si>
    <t>Total Delivery Unit RTS</t>
  </si>
  <si>
    <t>Accept and Clear</t>
  </si>
  <si>
    <t>Prepare and Distribute</t>
  </si>
  <si>
    <t>Collection of Postage Due</t>
  </si>
  <si>
    <t>Postage Due Mail Forwarded</t>
  </si>
  <si>
    <t>Sign For and Clear Accountable Items</t>
  </si>
  <si>
    <t>Postage Due/Address Correction Mail Returned</t>
  </si>
  <si>
    <r>
      <t xml:space="preserve">Weighted </t>
    </r>
    <r>
      <rPr>
        <u val="single"/>
        <sz val="10"/>
        <rFont val="Arial"/>
        <family val="2"/>
      </rPr>
      <t>Cost/Piece</t>
    </r>
  </si>
  <si>
    <t>Leave Notice</t>
  </si>
  <si>
    <t>Attempt Delivery</t>
  </si>
  <si>
    <t>Collect PD</t>
  </si>
  <si>
    <t>Process Refused Mail</t>
  </si>
  <si>
    <t>Total Cost/Piece for Postage Due Forwarded Mail</t>
  </si>
  <si>
    <r>
      <t xml:space="preserve">Labor </t>
    </r>
    <r>
      <rPr>
        <u val="single"/>
        <sz val="10"/>
        <rFont val="Arial"/>
        <family val="2"/>
      </rPr>
      <t>Rate</t>
    </r>
  </si>
  <si>
    <t>Refused Postage Due at Window</t>
  </si>
  <si>
    <t>Unit Costs</t>
  </si>
  <si>
    <t>Mail Processing +Transportation</t>
  </si>
  <si>
    <t>RTS Postage Due</t>
  </si>
  <si>
    <t>ACS Pieces</t>
  </si>
  <si>
    <t>Non-ACS Pieces</t>
  </si>
  <si>
    <t>Postage Due</t>
  </si>
  <si>
    <t>Percent</t>
  </si>
  <si>
    <t>Non ACS Processing Subtotals</t>
  </si>
  <si>
    <t>Non ACS Processing Costs</t>
  </si>
  <si>
    <t>ACS Keying Costs</t>
  </si>
  <si>
    <t>ACS Keying Subtotals</t>
  </si>
  <si>
    <t>Total: Non ACS Processing</t>
  </si>
  <si>
    <t>Total: ACS Keying</t>
  </si>
  <si>
    <t>Unit Cost</t>
  </si>
  <si>
    <t>Route/Window</t>
  </si>
  <si>
    <t>Accountables Unit</t>
  </si>
  <si>
    <t>Clerk Filing</t>
  </si>
  <si>
    <r>
      <t xml:space="preserve">Total Unit </t>
    </r>
    <r>
      <rPr>
        <u val="single"/>
        <sz val="10"/>
        <rFont val="Arial"/>
        <family val="2"/>
      </rPr>
      <t>Cost</t>
    </r>
  </si>
  <si>
    <t>Window Service</t>
  </si>
  <si>
    <t>Transportation Cost</t>
  </si>
  <si>
    <t>No Record Mail</t>
  </si>
  <si>
    <t>Unendorsed Bulk Business Mail (UBBM)</t>
  </si>
  <si>
    <t>check ---&gt;</t>
  </si>
  <si>
    <r>
      <t xml:space="preserve">Pieces/ </t>
    </r>
    <r>
      <rPr>
        <u val="single"/>
        <sz val="10"/>
        <rFont val="Arial"/>
        <family val="2"/>
      </rPr>
      <t>Hour</t>
    </r>
  </si>
  <si>
    <t>Volume of Form 3546 (000s) ---&gt;</t>
  </si>
  <si>
    <t>checks ---&gt;</t>
  </si>
  <si>
    <t>Piggyback factor ---&gt;</t>
  </si>
  <si>
    <t>check total mt cost ---&gt;</t>
  </si>
  <si>
    <t>check total fft cost ---&gt;</t>
  </si>
  <si>
    <t>check total cost ---&gt;</t>
  </si>
  <si>
    <t>check pd mt ---&gt;</t>
  </si>
  <si>
    <t>check pd fft ---&gt;</t>
  </si>
  <si>
    <t>check non-acs keying vol ---&gt;</t>
  </si>
  <si>
    <t>note: every piece gets a non-acs keying</t>
  </si>
  <si>
    <t>check acs mt keying vol ---&gt;</t>
  </si>
  <si>
    <t>note: only some pieces get acs keying</t>
  </si>
  <si>
    <t>check acs fft keying vol ---&gt;</t>
  </si>
  <si>
    <t>check pd mt vol ---&gt;</t>
  </si>
  <si>
    <t>note: only some pieces get pd processing</t>
  </si>
  <si>
    <t>check pd fft vol ---&gt;</t>
  </si>
  <si>
    <t>check acs keying vol ---&gt;</t>
  </si>
  <si>
    <t>Cost/ Piece</t>
  </si>
  <si>
    <r>
      <t xml:space="preserve">Adj Cost </t>
    </r>
    <r>
      <rPr>
        <u val="single"/>
        <sz val="10"/>
        <rFont val="Arial"/>
        <family val="2"/>
      </rPr>
      <t>Per Step</t>
    </r>
  </si>
  <si>
    <r>
      <t xml:space="preserve">Cost Per </t>
    </r>
    <r>
      <rPr>
        <u val="single"/>
        <sz val="10"/>
        <rFont val="Arial"/>
        <family val="2"/>
      </rPr>
      <t>Step</t>
    </r>
  </si>
  <si>
    <t>Collection Postage Due - Wind. Serv.</t>
  </si>
  <si>
    <t>Vol-Weighted</t>
  </si>
  <si>
    <t xml:space="preserve">   a. Keying and Labeling</t>
  </si>
  <si>
    <t xml:space="preserve">   d. Adjusted Subtotal</t>
  </si>
  <si>
    <t xml:space="preserve">   e. Clerk-Intercept Errors</t>
  </si>
  <si>
    <t xml:space="preserve">   f.  Total Adjusted Volume</t>
  </si>
  <si>
    <r>
      <t xml:space="preserve">COA Volume
</t>
    </r>
    <r>
      <rPr>
        <u val="single"/>
        <sz val="10"/>
        <rFont val="Arial"/>
        <family val="2"/>
      </rPr>
      <t>(000s)</t>
    </r>
  </si>
  <si>
    <r>
      <t xml:space="preserve">Overall Cost
</t>
    </r>
    <r>
      <rPr>
        <u val="single"/>
        <sz val="10"/>
        <rFont val="Arial"/>
        <family val="2"/>
      </rPr>
      <t>(000s)</t>
    </r>
  </si>
  <si>
    <r>
      <t xml:space="preserve">Total Cost
</t>
    </r>
    <r>
      <rPr>
        <u val="single"/>
        <sz val="10"/>
        <rFont val="Arial"/>
        <family val="2"/>
      </rPr>
      <t>(000s)</t>
    </r>
  </si>
  <si>
    <t>Delivery Unit Costs at Route</t>
  </si>
  <si>
    <t>All Pieces</t>
  </si>
  <si>
    <r>
      <t xml:space="preserve">Weighted Cost </t>
    </r>
    <r>
      <rPr>
        <u val="single"/>
        <sz val="10"/>
        <rFont val="Arial"/>
        <family val="2"/>
      </rPr>
      <t>Per Piece</t>
    </r>
  </si>
  <si>
    <r>
      <t xml:space="preserve">Volume
</t>
    </r>
    <r>
      <rPr>
        <u val="single"/>
        <sz val="10"/>
        <rFont val="Arial"/>
        <family val="2"/>
      </rPr>
      <t>(000s)</t>
    </r>
  </si>
  <si>
    <r>
      <t xml:space="preserve">Total Hours </t>
    </r>
    <r>
      <rPr>
        <u val="single"/>
        <sz val="10"/>
        <rFont val="Arial"/>
        <family val="2"/>
      </rPr>
      <t>(000s)</t>
    </r>
  </si>
  <si>
    <t>Rating Postage Due at the Nixie Unit</t>
  </si>
  <si>
    <t>Total Nixie Unit</t>
  </si>
  <si>
    <t>Direct/Indirect</t>
  </si>
  <si>
    <t>2. Flats Forwarding Terminal/Non-Mechanized Terminal</t>
  </si>
  <si>
    <t>Mach.</t>
  </si>
  <si>
    <t>NonMach.</t>
  </si>
  <si>
    <t>Waste Mail Verification</t>
  </si>
  <si>
    <t>check acs mt cost ---&gt;</t>
  </si>
  <si>
    <t>check acs fft cost ---&gt;</t>
  </si>
  <si>
    <t>Table</t>
  </si>
  <si>
    <t>Check Sum</t>
  </si>
  <si>
    <t>Notes:</t>
  </si>
  <si>
    <t>(1)</t>
  </si>
  <si>
    <t>Table 3.1 - Summary of Costs for Processing Undeliverable-As-Addressed Mail</t>
  </si>
  <si>
    <t>(2)</t>
  </si>
  <si>
    <t>(3)</t>
  </si>
  <si>
    <t>(4)</t>
  </si>
  <si>
    <t>(5)</t>
  </si>
  <si>
    <t>(6)</t>
  </si>
  <si>
    <t>(7)</t>
  </si>
  <si>
    <t>(8)</t>
  </si>
  <si>
    <r>
      <t>Piggyback</t>
    </r>
    <r>
      <rPr>
        <u val="single"/>
        <sz val="7.5"/>
        <rFont val="Arial"/>
        <family val="2"/>
      </rPr>
      <t xml:space="preserve"> </t>
    </r>
    <r>
      <rPr>
        <u val="single"/>
        <sz val="10"/>
        <rFont val="Arial"/>
        <family val="2"/>
      </rPr>
      <t>Factor (1)</t>
    </r>
  </si>
  <si>
    <r>
      <t xml:space="preserve">Piggyback </t>
    </r>
    <r>
      <rPr>
        <u val="single"/>
        <sz val="10"/>
        <rFont val="Arial"/>
        <family val="2"/>
      </rPr>
      <t>Factor (2)</t>
    </r>
  </si>
  <si>
    <t xml:space="preserve"> </t>
  </si>
  <si>
    <r>
      <t xml:space="preserve">Total Hours </t>
    </r>
    <r>
      <rPr>
        <u val="single"/>
        <sz val="10"/>
        <rFont val="Arial"/>
        <family val="2"/>
      </rPr>
      <t>(000s) (1)</t>
    </r>
  </si>
  <si>
    <r>
      <t xml:space="preserve">Overall Cost
</t>
    </r>
    <r>
      <rPr>
        <u val="single"/>
        <sz val="10"/>
        <rFont val="Arial"/>
        <family val="2"/>
      </rPr>
      <t>(000s) (1)</t>
    </r>
  </si>
  <si>
    <r>
      <t xml:space="preserve">Volume
</t>
    </r>
    <r>
      <rPr>
        <u val="single"/>
        <sz val="10"/>
        <rFont val="Arial"/>
        <family val="2"/>
      </rPr>
      <t>(000s) (1)</t>
    </r>
  </si>
  <si>
    <r>
      <t xml:space="preserve">Piggyback </t>
    </r>
    <r>
      <rPr>
        <u val="single"/>
        <sz val="10"/>
        <rFont val="Arial"/>
        <family val="2"/>
      </rPr>
      <t>Factor (1)</t>
    </r>
  </si>
  <si>
    <t>Volume (000s) (1)</t>
  </si>
  <si>
    <t>Originating Delivery Unit</t>
  </si>
  <si>
    <t>Destinating Delivery Unit</t>
  </si>
  <si>
    <t>Mail Processing &amp; Transportation</t>
  </si>
  <si>
    <t>Piggyback (2)</t>
  </si>
  <si>
    <r>
      <t xml:space="preserve">Error </t>
    </r>
    <r>
      <rPr>
        <u val="single"/>
        <sz val="10"/>
        <rFont val="Arial"/>
        <family val="2"/>
      </rPr>
      <t>Rate (3)</t>
    </r>
  </si>
  <si>
    <r>
      <t>Volume</t>
    </r>
    <r>
      <rPr>
        <u val="single"/>
        <sz val="10"/>
        <rFont val="Arial"/>
        <family val="2"/>
      </rPr>
      <t xml:space="preserve"> (000s) (1)</t>
    </r>
  </si>
  <si>
    <t>Photo and Discard</t>
  </si>
  <si>
    <t>On-Piece Notice</t>
  </si>
  <si>
    <t>Total Manual Address Correction Volume</t>
  </si>
  <si>
    <t xml:space="preserve">   b. No-Record Mail</t>
  </si>
  <si>
    <t xml:space="preserve">   c. No-Record Mail Errors</t>
  </si>
  <si>
    <t>(5) Assume that twice as many keystrokes are required to key ACS information as to key non-ACS information.</t>
  </si>
  <si>
    <t>(6) This productivity is developed by solving the ACS and non-ACS simultaneous equations for keying information.</t>
  </si>
  <si>
    <t>Total Cost/Piece for Postage Due Return-To-Sender Mail</t>
  </si>
  <si>
    <t>Activity</t>
  </si>
  <si>
    <t>Form 3575</t>
  </si>
  <si>
    <t>Grand Total</t>
  </si>
  <si>
    <t>All Shapes</t>
  </si>
  <si>
    <r>
      <t>Ave. Pieces/</t>
    </r>
    <r>
      <rPr>
        <u val="single"/>
        <sz val="10"/>
        <rFont val="Arial"/>
        <family val="2"/>
      </rPr>
      <t>Hour</t>
    </r>
  </si>
  <si>
    <r>
      <t>Marg. Pieces/</t>
    </r>
    <r>
      <rPr>
        <u val="single"/>
        <sz val="10"/>
        <rFont val="Arial"/>
        <family val="2"/>
      </rPr>
      <t>Hour</t>
    </r>
  </si>
  <si>
    <r>
      <t xml:space="preserve">Variability </t>
    </r>
    <r>
      <rPr>
        <u val="single"/>
        <sz val="10"/>
        <rFont val="Arial"/>
        <family val="2"/>
      </rPr>
      <t>Factor</t>
    </r>
  </si>
  <si>
    <t>Returned to Sender</t>
  </si>
  <si>
    <t>Nixie Unit RTS</t>
  </si>
  <si>
    <t>Hand Forwarded</t>
  </si>
  <si>
    <t>Subtotal</t>
  </si>
  <si>
    <t>Forwarded</t>
  </si>
  <si>
    <t>Wasted</t>
  </si>
  <si>
    <t>Returned To Sender</t>
  </si>
  <si>
    <t>Total - Nixie Unit</t>
  </si>
  <si>
    <t>ACS Nixie - Wasted at CFS Unit</t>
  </si>
  <si>
    <t>1. Mailstream: UAA Mail Directly Sent to Nixie Unit</t>
  </si>
  <si>
    <t>UAA Mail Directly Sent to Nixie Unit</t>
  </si>
  <si>
    <t>3. Mailstream: UAA Mail Directly Sent to Waste Receptacle</t>
  </si>
  <si>
    <t>UAA Mail Directly Sent to Waste Receptacle</t>
  </si>
  <si>
    <t>ACS Nixie - RTS from CFS Unit</t>
  </si>
  <si>
    <t>Total Directly Sent to Nixie Unit</t>
  </si>
  <si>
    <t>Forwarded Postage Due</t>
  </si>
  <si>
    <t>COA Mail Postage Due Activities</t>
  </si>
  <si>
    <t>COA Mail Activities, Excluding Postage Due Activities</t>
  </si>
  <si>
    <t>FF/NM Terminal</t>
  </si>
  <si>
    <t>check acsnix rts mt costs ---&gt;</t>
  </si>
  <si>
    <t>check acsnix rts fft costs ---&gt;</t>
  </si>
  <si>
    <t>check acsnix wst mt costs ---&gt;</t>
  </si>
  <si>
    <t>check acsnix wst fft costs ---&gt;</t>
  </si>
  <si>
    <t>check acsnix rts mt vol ---&gt;</t>
  </si>
  <si>
    <t>check acsnix rts fft vol ---&gt;</t>
  </si>
  <si>
    <t>check acsnix wst mt vol ---&gt;</t>
  </si>
  <si>
    <t>check acsnix wst fft vol ---&gt;</t>
  </si>
  <si>
    <t>check acsnix mt cost ---&gt;</t>
  </si>
  <si>
    <t>check acsnxi fft cost ---&gt;</t>
  </si>
  <si>
    <t>check acsnix total cost ---&gt;</t>
  </si>
  <si>
    <t>check acsnxi fft vol ---&gt;</t>
  </si>
  <si>
    <t>check acsnix total vol ---&gt;</t>
  </si>
  <si>
    <t>check acsnix mt vol ---&gt;</t>
  </si>
  <si>
    <t>Carrier Preparation</t>
  </si>
  <si>
    <t>ACS Keying Cost</t>
  </si>
  <si>
    <t>Clerk Handling - Sort By Reason</t>
  </si>
  <si>
    <t>CFS Postage Due Unit</t>
  </si>
  <si>
    <t>route module ---&gt;</t>
  </si>
  <si>
    <t>nixie module ---&gt;</t>
  </si>
  <si>
    <t>cfs module ---&gt;</t>
  </si>
  <si>
    <t>Total ---&gt;</t>
  </si>
  <si>
    <t>pd module ---&gt;</t>
  </si>
  <si>
    <t>Route</t>
  </si>
  <si>
    <t>Craft</t>
  </si>
  <si>
    <t>Nixie Unit</t>
  </si>
  <si>
    <t>CFS Unit</t>
  </si>
  <si>
    <t>Mailstream Processing &amp; Transportation</t>
  </si>
  <si>
    <t>Module</t>
  </si>
  <si>
    <t>Carrier/Clerk</t>
  </si>
  <si>
    <t>Clerk</t>
  </si>
  <si>
    <t>Cost</t>
  </si>
  <si>
    <t>($000)</t>
  </si>
  <si>
    <t>(000)</t>
  </si>
  <si>
    <t>Form 3547 Activities</t>
  </si>
  <si>
    <t>Form 3579 Activities</t>
  </si>
  <si>
    <t>Unit</t>
  </si>
  <si>
    <t>Sort/Transport</t>
  </si>
  <si>
    <t>Identify/Separate</t>
  </si>
  <si>
    <t>Clerk/MH</t>
  </si>
  <si>
    <t>Address Correction</t>
  </si>
  <si>
    <t>Forwarded (1)</t>
  </si>
  <si>
    <t>Processing &amp; Transport</t>
  </si>
  <si>
    <t>Accountable Unit</t>
  </si>
  <si>
    <t>Cost/Card</t>
  </si>
  <si>
    <r>
      <t xml:space="preserve">Total </t>
    </r>
    <r>
      <rPr>
        <u val="single"/>
        <sz val="10"/>
        <rFont val="Arial"/>
        <family val="2"/>
      </rPr>
      <t>Cost/Card</t>
    </r>
  </si>
  <si>
    <t>1. Photo and Forward</t>
  </si>
  <si>
    <t>2. Photo and Treat as Waste</t>
  </si>
  <si>
    <t>3. On Piece Notice</t>
  </si>
  <si>
    <t>ACS Nixie Notification</t>
  </si>
  <si>
    <t>ACS COA Processing</t>
  </si>
  <si>
    <t>Non-Letters</t>
  </si>
  <si>
    <t>Returned To Sender (2)</t>
  </si>
  <si>
    <t>Wasted (3)</t>
  </si>
  <si>
    <t>Nixie Work (4)</t>
  </si>
  <si>
    <t>Final Disposition</t>
  </si>
  <si>
    <t>Key/Label, Etc. (5)</t>
  </si>
  <si>
    <t>Hourly Wage - Clerk</t>
  </si>
  <si>
    <t>direct costs ---&gt;</t>
  </si>
  <si>
    <t>coa costs ---&gt;</t>
  </si>
  <si>
    <t>man note costs ---&gt;</t>
  </si>
  <si>
    <t>adm/spt costs ---&gt;</t>
  </si>
  <si>
    <t>Processing Original COAs</t>
  </si>
  <si>
    <t>Type</t>
  </si>
  <si>
    <t>Location</t>
  </si>
  <si>
    <t>Manual 3575</t>
  </si>
  <si>
    <t>W/S Clerk</t>
  </si>
  <si>
    <t>Manual 3575Z</t>
  </si>
  <si>
    <t>Carrier Filling Out Form</t>
  </si>
  <si>
    <t>Internet 3575</t>
  </si>
  <si>
    <t>Telephone 3575</t>
  </si>
  <si>
    <t>Craft/Activity</t>
  </si>
  <si>
    <t>Total -- Original COAs</t>
  </si>
  <si>
    <t>Processing Modified and Deleted COAs</t>
  </si>
  <si>
    <t>Modifications 3546</t>
  </si>
  <si>
    <t>Deletions 3575</t>
  </si>
  <si>
    <t>Total -- Modified/Deleted</t>
  </si>
  <si>
    <r>
      <t xml:space="preserve">Cards
</t>
    </r>
    <r>
      <rPr>
        <u val="single"/>
        <sz val="10"/>
        <rFont val="Arial"/>
        <family val="2"/>
      </rPr>
      <t>(000s) (1)</t>
    </r>
  </si>
  <si>
    <t>Plant</t>
  </si>
  <si>
    <t>Clerk/MH Processing</t>
  </si>
  <si>
    <t>Returned</t>
  </si>
  <si>
    <t>Volumes and Costs</t>
  </si>
  <si>
    <t>Costs (000s) (1)</t>
  </si>
  <si>
    <t>Letters (1)</t>
  </si>
  <si>
    <t>CFPS COA Scanning</t>
  </si>
  <si>
    <t>3982 Labeling</t>
  </si>
  <si>
    <t>Key From Paper</t>
  </si>
  <si>
    <t>Carrier Apply Stickers</t>
  </si>
  <si>
    <t>CFS/CIOSS Costs</t>
  </si>
  <si>
    <t>Mail Process &amp; Trans Costs</t>
  </si>
  <si>
    <t>ACS Nixie - Returned to Sender from CFS/CIOSS</t>
  </si>
  <si>
    <t>ACS Nixie - Wasted at CFS/CIOSS</t>
  </si>
  <si>
    <t>2. Mailstream: UAA Mail Directly Sent to CFS/CIOSS</t>
  </si>
  <si>
    <t>CFS/CIOSS - Forwarded</t>
  </si>
  <si>
    <t>CFS/CIOSS - Returned to Sender</t>
  </si>
  <si>
    <t>CFS/CIOSS - Wasted</t>
  </si>
  <si>
    <t>Total Directly Sent to CFS/CIOSS</t>
  </si>
  <si>
    <t>4. CFS/CIOSS No Record Mail &amp; UBBM</t>
  </si>
  <si>
    <t>5. Final Disposition Including CFS/CIOSS NRM &amp; UBBM</t>
  </si>
  <si>
    <t>UAA Mail Directly Sent to CFS/CIOSS</t>
  </si>
  <si>
    <t>CFS/CIOSS - Returned To Sender</t>
  </si>
  <si>
    <t>Total - CFS/CIOSS</t>
  </si>
  <si>
    <t>PARS Environment</t>
  </si>
  <si>
    <t>Mail Stream</t>
  </si>
  <si>
    <t>UAA Reason</t>
  </si>
  <si>
    <t>Moved, Active COA</t>
  </si>
  <si>
    <t>Mail Type</t>
  </si>
  <si>
    <t>ACS Nixie</t>
  </si>
  <si>
    <t>(1) CIOSS processing includes image lift, label application, and associated activities such as riffling.</t>
  </si>
  <si>
    <r>
      <t xml:space="preserve">Volume
</t>
    </r>
    <r>
      <rPr>
        <u val="single"/>
        <sz val="10"/>
        <rFont val="Arial"/>
        <family val="2"/>
      </rPr>
      <t>(000s) (2)</t>
    </r>
  </si>
  <si>
    <r>
      <t xml:space="preserve">Overall Cost
</t>
    </r>
    <r>
      <rPr>
        <u val="single"/>
        <sz val="10"/>
        <rFont val="Arial"/>
        <family val="2"/>
      </rPr>
      <t>(000s) (2)</t>
    </r>
  </si>
  <si>
    <r>
      <t xml:space="preserve">Piggyback </t>
    </r>
    <r>
      <rPr>
        <u val="single"/>
        <sz val="10"/>
        <rFont val="Arial"/>
        <family val="2"/>
      </rPr>
      <t>Factor (3)</t>
    </r>
  </si>
  <si>
    <t>Total CIF Mail</t>
  </si>
  <si>
    <t>Total INT Mail</t>
  </si>
  <si>
    <t>Non-ACS</t>
  </si>
  <si>
    <t>ACS</t>
  </si>
  <si>
    <t>Bad Address and Other</t>
  </si>
  <si>
    <t>Intercepted Mail (4)</t>
  </si>
  <si>
    <t>Carrier-Identified Forwards (7)</t>
  </si>
  <si>
    <t>Carrier-Identified Returns (8)</t>
  </si>
  <si>
    <t>Total CIR Mail</t>
  </si>
  <si>
    <t>(4) Mail that is intercepted by PARS-enabled machines during mail processing activities.</t>
  </si>
  <si>
    <r>
      <t xml:space="preserve">REC Total Cost
</t>
    </r>
    <r>
      <rPr>
        <u val="single"/>
        <sz val="10"/>
        <rFont val="Arial"/>
        <family val="2"/>
      </rPr>
      <t>(000s)</t>
    </r>
  </si>
  <si>
    <r>
      <t xml:space="preserve">REC Volume
</t>
    </r>
    <r>
      <rPr>
        <u val="single"/>
        <sz val="10"/>
        <rFont val="Arial"/>
        <family val="2"/>
      </rPr>
      <t>(000s)</t>
    </r>
  </si>
  <si>
    <r>
      <t xml:space="preserve">AFR Final Volume
</t>
    </r>
    <r>
      <rPr>
        <u val="single"/>
        <sz val="10"/>
        <rFont val="Arial"/>
        <family val="2"/>
      </rPr>
      <t>(000s)</t>
    </r>
  </si>
  <si>
    <t>COA Cards</t>
  </si>
  <si>
    <t>Total Mail</t>
  </si>
  <si>
    <r>
      <t xml:space="preserve">Input Volume
</t>
    </r>
    <r>
      <rPr>
        <u val="single"/>
        <sz val="10"/>
        <rFont val="Arial"/>
        <family val="2"/>
      </rPr>
      <t>(000s) (1)</t>
    </r>
  </si>
  <si>
    <r>
      <t xml:space="preserve">AFR Finalization </t>
    </r>
    <r>
      <rPr>
        <u val="single"/>
        <sz val="10"/>
        <rFont val="Arial"/>
        <family val="2"/>
      </rPr>
      <t>Rate (1)</t>
    </r>
  </si>
  <si>
    <t>Intercepted Mail (2)</t>
  </si>
  <si>
    <t>Carrier-Identified Forwards (5)</t>
  </si>
  <si>
    <t>Carrier-Identified Returns (6)</t>
  </si>
  <si>
    <t>Originals</t>
  </si>
  <si>
    <t>Mods/Deletes</t>
  </si>
  <si>
    <t>Total Card Images</t>
  </si>
  <si>
    <t>Total Mail Images</t>
  </si>
  <si>
    <t>Grand Total Images</t>
  </si>
  <si>
    <t>(2) Mail that is intercepted by PARS-enabled machines during mail processing activities.</t>
  </si>
  <si>
    <t>Returned (3)</t>
  </si>
  <si>
    <r>
      <t xml:space="preserve">REC Volume
</t>
    </r>
    <r>
      <rPr>
        <u val="single"/>
        <sz val="10"/>
        <rFont val="Arial"/>
        <family val="2"/>
      </rPr>
      <t>(000s) (1)</t>
    </r>
  </si>
  <si>
    <t>Returned (9)</t>
  </si>
  <si>
    <t>Non-CIOSS Mail</t>
  </si>
  <si>
    <t>CIOSS Reject Mail</t>
  </si>
  <si>
    <t>All Mail</t>
  </si>
  <si>
    <t>check all mail, COA ---&gt;</t>
  </si>
  <si>
    <t>check all mail, acsnix ---&gt;</t>
  </si>
  <si>
    <t>Letters Sent To CIOSS</t>
  </si>
  <si>
    <t>ACS Nixie - RTS</t>
  </si>
  <si>
    <t>ACS Nixie - Wasted</t>
  </si>
  <si>
    <t>All Other Letters</t>
  </si>
  <si>
    <t>RTS Diverted To MRC</t>
  </si>
  <si>
    <t>Total CIOSS Letters</t>
  </si>
  <si>
    <t>Total Other Letters</t>
  </si>
  <si>
    <t>All Other Shapes</t>
  </si>
  <si>
    <t>Total Other Shapes</t>
  </si>
  <si>
    <t>Total CIOSS Rejects</t>
  </si>
  <si>
    <t>All Other Mail</t>
  </si>
  <si>
    <t xml:space="preserve">(3) For CIOSS letters, there is no manual postage due rating in the nixie unit.  Rating is </t>
  </si>
  <si>
    <t>check form count ---&gt;</t>
  </si>
  <si>
    <t>check env count ---&gt;</t>
  </si>
  <si>
    <t>Total Form 3547 - CIOSS ---&gt;</t>
  </si>
  <si>
    <t>Total Form 3547 - All Forms ---&gt;</t>
  </si>
  <si>
    <t>CIOSS/CFS</t>
  </si>
  <si>
    <t>Forms Generated at All Locations</t>
  </si>
  <si>
    <r>
      <t xml:space="preserve">Forms per </t>
    </r>
    <r>
      <rPr>
        <u val="single"/>
        <sz val="10"/>
        <rFont val="Arial"/>
        <family val="2"/>
      </rPr>
      <t>Envelope</t>
    </r>
  </si>
  <si>
    <r>
      <t>Total Mailstream Processing</t>
    </r>
    <r>
      <rPr>
        <u val="single"/>
        <sz val="10"/>
        <rFont val="Arial"/>
        <family val="2"/>
      </rPr>
      <t xml:space="preserve"> Cost Per Envelope</t>
    </r>
  </si>
  <si>
    <t>CIOSS</t>
  </si>
  <si>
    <t>AFR</t>
  </si>
  <si>
    <t>REC</t>
  </si>
  <si>
    <t>Input</t>
  </si>
  <si>
    <t>Rejects</t>
  </si>
  <si>
    <t>Finalized</t>
  </si>
  <si>
    <t>COA Mail</t>
  </si>
  <si>
    <t>Nixie Mail</t>
  </si>
  <si>
    <t>Non-Forwardable Mail</t>
  </si>
  <si>
    <t>AFR Finalized</t>
  </si>
  <si>
    <t>REC Finalized</t>
  </si>
  <si>
    <t>CFS</t>
  </si>
  <si>
    <t>FF/NM Terminal (3)</t>
  </si>
  <si>
    <t>Mechanized Terminal (4)</t>
  </si>
  <si>
    <t>FF/NM Terminal (5)</t>
  </si>
  <si>
    <t>(4) Mechanized terminals are not operational in the PARS environment.</t>
  </si>
  <si>
    <t>AFR Finalized (6)</t>
  </si>
  <si>
    <t>ACS COA</t>
  </si>
  <si>
    <t>For some types of mail, image lift occurs on upstream, PARS-enabled machines such as AFCS, MLOCR, and DIOSS machines.</t>
  </si>
  <si>
    <r>
      <t xml:space="preserve">Hours
</t>
    </r>
    <r>
      <rPr>
        <u val="single"/>
        <sz val="10"/>
        <rFont val="Arial"/>
        <family val="2"/>
      </rPr>
      <t>(000s)</t>
    </r>
  </si>
  <si>
    <t>Non-PARS Pieces (2)</t>
  </si>
  <si>
    <t>(1) Refer to Table 3.11.</t>
  </si>
  <si>
    <t>CIOSS Processing</t>
  </si>
  <si>
    <t>COA Images</t>
  </si>
  <si>
    <t>CIF Forwarded</t>
  </si>
  <si>
    <t>CIF Returned</t>
  </si>
  <si>
    <t>CIF Wasted</t>
  </si>
  <si>
    <t>CIR Returned</t>
  </si>
  <si>
    <t>Clerk Handling - Verifying Waste</t>
  </si>
  <si>
    <t>CIOSS Rejects - Nixie Unit Processing</t>
  </si>
  <si>
    <t>CIOSS Rejects - CFS Unit Processing</t>
  </si>
  <si>
    <t>Non-PARS Pieces</t>
  </si>
  <si>
    <t>Plant-Intercepted Non-Forwardable Waste</t>
  </si>
  <si>
    <t>Plant-Intercepted COA Mail Waste</t>
  </si>
  <si>
    <t>Carrier-Identified COA Mail Waste</t>
  </si>
  <si>
    <t>Total Non-PARS Pieces</t>
  </si>
  <si>
    <t>Clerk Handling - Prep for CIOSS</t>
  </si>
  <si>
    <t>Delivery Unit Waste</t>
  </si>
  <si>
    <t>CFS Unit COA Mail Waste</t>
  </si>
  <si>
    <t>CFS Unit ACS Nixie Waste</t>
  </si>
  <si>
    <t>REC Site Finalization, Non-ACS Pieces</t>
  </si>
  <si>
    <t>Carrier-Identified ACS Nixie Mail Waste</t>
  </si>
  <si>
    <t>Plant-Intercepted ACS Nixie Mail Waste</t>
  </si>
  <si>
    <t>cioss module ---&gt;</t>
  </si>
  <si>
    <t>rec module ---&gt;</t>
  </si>
  <si>
    <t>Total PARS Pieces</t>
  </si>
  <si>
    <t>PARS Pieces</t>
  </si>
  <si>
    <t>Plant-Intercepted COA Mail RTS</t>
  </si>
  <si>
    <t>Carrier-Identified COA Mail RTS</t>
  </si>
  <si>
    <t>Plant-Intercepted ACS Nixie Mail RTS</t>
  </si>
  <si>
    <t>Carrier-Identified ACS Nixie Mail RTS</t>
  </si>
  <si>
    <t>Carrier-Identified Nixie Mail RTS</t>
  </si>
  <si>
    <t>Pieces</t>
  </si>
  <si>
    <t>Forwarded Mail</t>
  </si>
  <si>
    <t>Returned-To-Sender Mail</t>
  </si>
  <si>
    <r>
      <t xml:space="preserve">PARS </t>
    </r>
    <r>
      <rPr>
        <u val="single"/>
        <sz val="10"/>
        <rFont val="Arial"/>
        <family val="2"/>
      </rPr>
      <t>Pieces (000)</t>
    </r>
  </si>
  <si>
    <r>
      <t xml:space="preserve">Non-PARS </t>
    </r>
    <r>
      <rPr>
        <u val="single"/>
        <sz val="10"/>
        <rFont val="Arial"/>
        <family val="2"/>
      </rPr>
      <t>Pieces (000)</t>
    </r>
  </si>
  <si>
    <r>
      <t xml:space="preserve">Total </t>
    </r>
    <r>
      <rPr>
        <u val="single"/>
        <sz val="10"/>
        <rFont val="Arial"/>
        <family val="2"/>
      </rPr>
      <t>Pieces (000)</t>
    </r>
  </si>
  <si>
    <t>Downstream Activities</t>
  </si>
  <si>
    <t>mp trans module ---&gt;</t>
  </si>
  <si>
    <t>Delivery Unit RTS</t>
  </si>
  <si>
    <t>Clerk Handling - Prep/Mark Up</t>
  </si>
  <si>
    <t>CFS Unit COA Mail RTS</t>
  </si>
  <si>
    <t>CFS Unit ACS Nixie RTS</t>
  </si>
  <si>
    <t>Table 3.3 - Cost of Forwarded UAA Mail, PARS Pieces</t>
  </si>
  <si>
    <t>Plant-Intercepted COA Mail Forwarded</t>
  </si>
  <si>
    <t>Carrier-Identified COA Mail Forwarded</t>
  </si>
  <si>
    <t>Delivery Unit Hand Forwarded</t>
  </si>
  <si>
    <t>CFS Unit COA Mail Forwarded</t>
  </si>
  <si>
    <t>Activities Directly Associated with UAA Mail -- PARS Pieces</t>
  </si>
  <si>
    <t>Activities Directly Associated with UAA Mail -- Non-PARS Pieces</t>
  </si>
  <si>
    <t>REC Site</t>
  </si>
  <si>
    <t>Image Lift/Label</t>
  </si>
  <si>
    <t>Activities Directly Associated with UAA Mail -- All Pieces</t>
  </si>
  <si>
    <t>PARS</t>
  </si>
  <si>
    <t>Non-PARS</t>
  </si>
  <si>
    <t>Clerk Keying</t>
  </si>
  <si>
    <t>REC Site Processing</t>
  </si>
  <si>
    <t>Total -- REC Site</t>
  </si>
  <si>
    <t>Total Cost ($000)</t>
  </si>
  <si>
    <t>Machinable Letters</t>
  </si>
  <si>
    <t>Non-Machinable Letters</t>
  </si>
  <si>
    <t>Machinable Parcels</t>
  </si>
  <si>
    <t>Non-Machinable Parcels</t>
  </si>
  <si>
    <t>All Forwarded Pieces</t>
  </si>
  <si>
    <t>All RTS Pieces</t>
  </si>
  <si>
    <t>Non-Machinable Letters (1)</t>
  </si>
  <si>
    <t>(1)  PARS letters rejected from the CIOSS machine.</t>
  </si>
  <si>
    <t>Table 3.2 - Cost of Forwarded UAA Mail, All Pieces</t>
  </si>
  <si>
    <t>Table 3.4 - Cost of Forwarded UAA Mail, Non-PARS Pieces</t>
  </si>
  <si>
    <t>Table 3.5 - Cost of Returned-to-Sender UAA Mail, All Pieces</t>
  </si>
  <si>
    <t>Table 3.7 - Cost of Returned-to-Sender UAA Mail, Non-PARS Pieces</t>
  </si>
  <si>
    <t>Table 3.8 - Cost of Wasted UAA Mail, All Pieces</t>
  </si>
  <si>
    <t>Table 3.9 - Cost of Wasted UAA Mail, PARS Pieces</t>
  </si>
  <si>
    <t>Table 3.10 - Cost of Wasted UAA Mail, Non-PARS Pieces</t>
  </si>
  <si>
    <t>Table 3.11 - Cost of Form 3547: Part 1 - Forms Generated on CIOSS Machines</t>
  </si>
  <si>
    <t>Table 3.12 - Cost of Form 3579</t>
  </si>
  <si>
    <t>Table 3.13 - Costs of Processing COA Cards (Form 3575, 3575Z, and 3546): Part 1 - Processing Original COAs</t>
  </si>
  <si>
    <t>UAA Baseline Cost Model Tables</t>
  </si>
  <si>
    <t>Table 3.18 - Cost of UAA at the Originating Nixie Unit (Excluding Postage Due Processing)</t>
  </si>
  <si>
    <t>Table 3.19 - Summary of Cost of UAA at CFS Unit: Part 1 - Non-CIOSS Mail</t>
  </si>
  <si>
    <t>Table 3.20 - Non-CIOSS Mail CFS Processing Costs: Part 1 - COA Mail Activities, Excluding Postage Due</t>
  </si>
  <si>
    <t>Table 3.21 - CIOSS Reject Mail CFS Processing Costs: Part 1 - COA Mail Activities, Excluding Postage Due</t>
  </si>
  <si>
    <t>Table 3.22 - CFS COA Mail Keying and Labeling Productivities</t>
  </si>
  <si>
    <t>Table 3.24 - Detailed CIOSS Processing Cost (1), Machinable Letters</t>
  </si>
  <si>
    <t>Forwarded (6)</t>
  </si>
  <si>
    <t>Returned To Sender (7)</t>
  </si>
  <si>
    <t>Wasted (8)</t>
  </si>
  <si>
    <t>COA Card Processing (9)</t>
  </si>
  <si>
    <t>(1) UAA PARS mail that is forwarded to a new destination address.  Refer to Table 3.3.</t>
  </si>
  <si>
    <t>(2) UAA PARS mail that is returned to the sender's address.  Refer to Table 3.6.</t>
  </si>
  <si>
    <t>(3) UAA PARS mail that is wasted based on USPS UAA regulations.  Refer to Table 3.9.</t>
  </si>
  <si>
    <t>(6) UAA non-PARS mail that is forwarded to a new destination address.  Refer to Table 3.4.</t>
  </si>
  <si>
    <t>(7) UAA non-PARS mail that is returned to the sender's address.  Refer to Table 3.7.</t>
  </si>
  <si>
    <t>(9) Refer to Table 3.13. Includes Forms 3575, 3575Z, and 3546.</t>
  </si>
  <si>
    <t>PARS Pieces (1)</t>
  </si>
  <si>
    <t>(1) Refer to Table 3.3.</t>
  </si>
  <si>
    <t>(2) Refer to Table 3.4.</t>
  </si>
  <si>
    <t>Plant-Intercepted COA Mail Forwarded (1)</t>
  </si>
  <si>
    <t>Carrier-Identified COA Mail Forwarded (2)</t>
  </si>
  <si>
    <t>Downstream Activities (3)</t>
  </si>
  <si>
    <t>(2) COA mail that is identified by carriers at the original delivery unit as being forwarded.</t>
  </si>
  <si>
    <t>(3) Activities that occur after mail has been redirected.</t>
  </si>
  <si>
    <t>(9)</t>
  </si>
  <si>
    <t>(4) Refer to Table 3.24.</t>
  </si>
  <si>
    <t>(6) Refer to Table 3.26.</t>
  </si>
  <si>
    <t>(8) Refer to Table 3.21.</t>
  </si>
  <si>
    <t>(10)</t>
  </si>
  <si>
    <t>(11)</t>
  </si>
  <si>
    <t>(9) Refer to Table 3.16.</t>
  </si>
  <si>
    <t>(10) Refer to Table 3.18.</t>
  </si>
  <si>
    <t>(12)</t>
  </si>
  <si>
    <t>(13)</t>
  </si>
  <si>
    <t>(14)</t>
  </si>
  <si>
    <t>(15)</t>
  </si>
  <si>
    <t>(16)</t>
  </si>
  <si>
    <t>Delivery Unit Hand Forwarded (1)</t>
  </si>
  <si>
    <t>CFS Unit COA Mail Forwarded (2)</t>
  </si>
  <si>
    <t>(1) Mail being hand forwarded from the delivery unit.</t>
  </si>
  <si>
    <t>(2) Mail directly sent to CFS unit which is then forwarded.</t>
  </si>
  <si>
    <t>(4) Refer to Table 3.15.</t>
  </si>
  <si>
    <t>(5) Refer to Table 3.18.</t>
  </si>
  <si>
    <t>(7) Refer to Table 3.20.</t>
  </si>
  <si>
    <t>(9) Refer to Table 3.35.</t>
  </si>
  <si>
    <t>(1) Refer to Table 3.6.</t>
  </si>
  <si>
    <t>(2) Refer to Table 3.7.</t>
  </si>
  <si>
    <t>Plant-Intercepted COA Mail RTS (2)</t>
  </si>
  <si>
    <t>Carrier-Identified COA Mail RTS (3)</t>
  </si>
  <si>
    <t>Carrier-Identified Nixie Mail RTS (4)</t>
  </si>
  <si>
    <t>Plant-Intercepted ACS Nixie Mail RTS (5)</t>
  </si>
  <si>
    <t>Carrier-Identified ACS Nixie Mail RTS (6)</t>
  </si>
  <si>
    <t>Downstream Activities (7)</t>
  </si>
  <si>
    <t>(3) COA mail that is identified by carriers at the original delivery unit as being RTS.</t>
  </si>
  <si>
    <t>(4) Nixie mail that is identified by carriers at the original delivery unit as being RTS.</t>
  </si>
  <si>
    <t>(7) Activities that occur after mail has been redirected.</t>
  </si>
  <si>
    <t>(8) Refer to Table 3.24.</t>
  </si>
  <si>
    <t>(7) Refer to Table 3.21 after subtracting out carrier-identified forwarded mail.</t>
  </si>
  <si>
    <t>(11) Refer to Table 3.21 after subtracting out plant-intercepted forwarded mail.</t>
  </si>
  <si>
    <t>(11) Refer to Table 3.18.</t>
  </si>
  <si>
    <t>(12) Refer to Table 3.26.</t>
  </si>
  <si>
    <t>(11) Refer to Table 3.21.</t>
  </si>
  <si>
    <t>(14) Refer to Table 3.21.</t>
  </si>
  <si>
    <t>(15) Refer to Table 3.16.</t>
  </si>
  <si>
    <t>(17)</t>
  </si>
  <si>
    <t>(18)</t>
  </si>
  <si>
    <t>(19)</t>
  </si>
  <si>
    <t>(20)</t>
  </si>
  <si>
    <t>(21)</t>
  </si>
  <si>
    <t>(22)</t>
  </si>
  <si>
    <t>(23)</t>
  </si>
  <si>
    <t>(24)</t>
  </si>
  <si>
    <t>Delivery Unit RTS (1)</t>
  </si>
  <si>
    <t>CFS Unit COA Mail RTS (2)</t>
  </si>
  <si>
    <t>CFS Unit ACS Nixie RTS (3)</t>
  </si>
  <si>
    <t>Downstream Activities (4)</t>
  </si>
  <si>
    <t>(1) Mail being returned from the delivery unit.</t>
  </si>
  <si>
    <t>(2) Mail directly sent to CFS unit which is then returned to sender.</t>
  </si>
  <si>
    <t>(4) Activities that occur after mail has been redirected.</t>
  </si>
  <si>
    <t>(5) Refer to Table 3.15.</t>
  </si>
  <si>
    <t>(6) Refer to Table 3.18.</t>
  </si>
  <si>
    <t>(8) Refer to Table 3.20.</t>
  </si>
  <si>
    <t>(1) Refer to Table 3.9.</t>
  </si>
  <si>
    <t>(2) Refer to Table 3.10.</t>
  </si>
  <si>
    <t>Plant-Intercepted Non-Forwardable Waste (1)</t>
  </si>
  <si>
    <t>Plant-Intercepted COA Mail Waste (2)</t>
  </si>
  <si>
    <t>Carrier-Identified COA Mail Waste (3)</t>
  </si>
  <si>
    <t>Plant-Intercepted ACS Nixie Mail Waste (4)</t>
  </si>
  <si>
    <t>Carrier-Identified ACS Nixie Mail Waste (5)</t>
  </si>
  <si>
    <t>Table 3.19 - Summary of Cost of UAA at CFS Unit: Part 2 - CIOSS Reject Mail</t>
  </si>
  <si>
    <t>Table 3.19 - Summary of Cost of UAA at CFS Unit: Part 3 - All Mail</t>
  </si>
  <si>
    <t>(2) Refer to Table 3.20.</t>
  </si>
  <si>
    <t>Table 3.20 - Non-CIOSS Mail CFS Processing Costs: Part 2 - COA Mail Postage Due Activities</t>
  </si>
  <si>
    <t>Table 3.20 - Non-CIOSS Mail CFS Processing Costs: Part 3 - ACS Nixie Mail Activities</t>
  </si>
  <si>
    <t>Table 3.21 - CIOSS Reject Mail CFS Processing Costs: Part 2 - COA Mail Postage Due Activities</t>
  </si>
  <si>
    <t>Table 3.21- CIOSS Reject Mail CFS Processing Costs: Part 3 - ACS Nixie Mail Activities</t>
  </si>
  <si>
    <t>(1) Refer to Table 3.24.</t>
  </si>
  <si>
    <t>Moved, Non-Forwardable (6)</t>
  </si>
  <si>
    <t>(6) Unendorsed Standard Mail and BPM Mail associated with an active COA.  These pieces are not forwardable.</t>
  </si>
  <si>
    <t>(8) Mail with a bad address or other nixie reason that is identified by a carrier.</t>
  </si>
  <si>
    <t>(1) Refer to Table 3.26.</t>
  </si>
  <si>
    <t>(4) Unendorsed Standard Mail and BPM Mail associated with an active COA.  These pieces are not forwardable.</t>
  </si>
  <si>
    <t>Moved, Non-Forwardable (4)</t>
  </si>
  <si>
    <t>Moved, Non- Forwardable (4)</t>
  </si>
  <si>
    <t>(6) Mail with a bad address or other nixie reason that is identified by a carrier.</t>
  </si>
  <si>
    <t>(2)  Refer to Table 3.3.</t>
  </si>
  <si>
    <t>(5)  Refer to Table 3.6.</t>
  </si>
  <si>
    <t xml:space="preserve">      automated as part of the CIOSS label-generation process.</t>
  </si>
  <si>
    <t>Processing and Transport Unit Cost, Form 3547</t>
  </si>
  <si>
    <t>Processing and Transport Unit Cost, Form 3579</t>
  </si>
  <si>
    <t>(3) Refer to Table 3.12.</t>
  </si>
  <si>
    <t>(1) Pieces that are processed in the PARS system, including CIOSS rejects.</t>
  </si>
  <si>
    <t>(2) Pieces that are not processed in the PARS system.</t>
  </si>
  <si>
    <t>(5) ACS letter mail that is rejected from CIOSS machines is processed at the CFS unit.</t>
  </si>
  <si>
    <t>Table 3.15 - Cost of UAA at the Originating Delivery Unit Route, Non-PARS Pieces (Part 1)</t>
  </si>
  <si>
    <t>Table 3.26 - Detailed REC Site Processing Cost (1), Non-ACS Keying, Machinable Letters and COA Cards</t>
  </si>
  <si>
    <t>Table 3.27 - Detailed REC Site Processing Cost (1), ACS Keying, Machinable Letters and COA Cards</t>
  </si>
  <si>
    <r>
      <t xml:space="preserve">Non-ACS Keying Cost
</t>
    </r>
    <r>
      <rPr>
        <u val="single"/>
        <sz val="10"/>
        <rFont val="Arial"/>
        <family val="2"/>
      </rPr>
      <t>(000s) (1)</t>
    </r>
  </si>
  <si>
    <t>REC Site Finalization, ACS Pieces (17)</t>
  </si>
  <si>
    <t>REC Site Finalization, ACS Pieces (25)</t>
  </si>
  <si>
    <t>(5) Refer to Table 3.28.</t>
  </si>
  <si>
    <t>(12) Refer to Table 3.35.</t>
  </si>
  <si>
    <t>(13) Refer to Table 3.30.</t>
  </si>
  <si>
    <t>(14) Refer to Table 3.32.</t>
  </si>
  <si>
    <t>(15) Refer to Table 3.33.</t>
  </si>
  <si>
    <t>(16) Refer to Table 3.34.</t>
  </si>
  <si>
    <t>(8) Refer to Table 3.35.</t>
  </si>
  <si>
    <t>(9) Refer to Table 3.36.</t>
  </si>
  <si>
    <t>(10) Refer to Table 3.30.</t>
  </si>
  <si>
    <t>(11) Refer to Table 3.32.</t>
  </si>
  <si>
    <t>(12) Refer to Table 3.33.</t>
  </si>
  <si>
    <t>(13) Refer to Table 3.34.</t>
  </si>
  <si>
    <t>(9) Refer to Table 3.28.</t>
  </si>
  <si>
    <t>(20) Refer to Table 3.35.</t>
  </si>
  <si>
    <t>(21) Refer to Table 3.30.</t>
  </si>
  <si>
    <t>(22) Refer to Table 3.32.</t>
  </si>
  <si>
    <t>(23) Refer to Table 3.33.</t>
  </si>
  <si>
    <t>(24) Refer to Table 3.34.</t>
  </si>
  <si>
    <t>(7) Refer to Table 3.31.</t>
  </si>
  <si>
    <t>(7) Refer to Table 3.28.</t>
  </si>
  <si>
    <t>(3) Refer to Table 3.40.</t>
  </si>
  <si>
    <t>(1) Refer to Table 3.28.</t>
  </si>
  <si>
    <t>(3)  Refer to Table 3.29.</t>
  </si>
  <si>
    <t>(2) Refer to Table 3.32.</t>
  </si>
  <si>
    <t>(3) Refer to Table 3.33.</t>
  </si>
  <si>
    <t>(4) Refer to Table 3.34.</t>
  </si>
  <si>
    <t>(3) Based on the cost of forwarded letters, Table 3.29.</t>
  </si>
  <si>
    <t>(4) Refer to Table 3.38.</t>
  </si>
  <si>
    <t>(3) Refer to Table 3.37.</t>
  </si>
  <si>
    <t>(2) Refer to Table 3.37.</t>
  </si>
  <si>
    <t>(3) Refer to Table 3.42.</t>
  </si>
  <si>
    <t>Table 3.28 - Derivation of Volumes Processed at REC Site, Machinable UAA Letters and COA Cards</t>
  </si>
  <si>
    <t>Table 3.29 - Derivation of UAA Mail in Mail Processing and Transportation Unit Costs</t>
  </si>
  <si>
    <t>Table 3.30 - Cost of UAA Mail in Mail Processing and Transportation</t>
  </si>
  <si>
    <t>Table 3.31 - Cost of Rating Postage Due Mail at the Originating Nixie Unit</t>
  </si>
  <si>
    <t>Table 3.32 - Accountable Mail Unit, Cost of Processing UAA Postage Due Mail</t>
  </si>
  <si>
    <t>Table 3.33 - Carrier Cost for Delivering UAA Postage Due Mail</t>
  </si>
  <si>
    <t>Table 3.34 - Cost of Collecting Postage Due on UAA Mail at the Window</t>
  </si>
  <si>
    <t>Table 3.35 - Postage Due Volume Flows, PARS and Non-PARS Pieces</t>
  </si>
  <si>
    <t>Table 3.36 - Cost of Processing Form 3546</t>
  </si>
  <si>
    <t xml:space="preserve">Table 3.37 - Address Correction Service Inputs </t>
  </si>
  <si>
    <t>Table 3.40 - Mail Processing Costs for Forms</t>
  </si>
  <si>
    <t>Table 3.41 - Address Correction Service, Manual Notice Unit Cost</t>
  </si>
  <si>
    <t>Table 3.42 - Summary of Volume Flows (000)</t>
  </si>
  <si>
    <t>(1) Based on unit cost proxies from Table 3.29.</t>
  </si>
  <si>
    <t>Table 3.38 - Distribution of Form 3547 by Notification Method and Location</t>
  </si>
  <si>
    <t>Forms Based on Letters</t>
  </si>
  <si>
    <t>Previously Processed at CFS (3)</t>
  </si>
  <si>
    <t>Previously Processed at Nixie Unit (3)</t>
  </si>
  <si>
    <t>Total Forms Based on Letters</t>
  </si>
  <si>
    <t>Form 3547 Type</t>
  </si>
  <si>
    <t>Volume (000) (1)</t>
  </si>
  <si>
    <t>Volume (000) (2)</t>
  </si>
  <si>
    <t>Forms Based on Non-Letters</t>
  </si>
  <si>
    <t>Processed at CFS Unit</t>
  </si>
  <si>
    <t>Processed at Nixie Unit</t>
  </si>
  <si>
    <t>Total Forms Based on Non-Letters</t>
  </si>
  <si>
    <t>Forms Previously Processed or</t>
  </si>
  <si>
    <t>Total Forms</t>
  </si>
  <si>
    <t>(3)  In a PARS environment, the pieces for these forms are identified on the CIOSS machine.</t>
  </si>
  <si>
    <t xml:space="preserve">      The forms themselves are generated at NCSC.</t>
  </si>
  <si>
    <t>Form 3547 Volume - CFS/CIOSS</t>
  </si>
  <si>
    <t>Form 3547 Volume - Nixie</t>
  </si>
  <si>
    <t>Form 3579 Volume - CFS</t>
  </si>
  <si>
    <t>Form 3579 Volume - Nixie</t>
  </si>
  <si>
    <t>Form 3547 - From CFS</t>
  </si>
  <si>
    <t>Form 3547 - From NCSC</t>
  </si>
  <si>
    <r>
      <t xml:space="preserve">Total Mailstream Processing </t>
    </r>
    <r>
      <rPr>
        <u val="single"/>
        <sz val="10"/>
        <rFont val="Arial"/>
        <family val="2"/>
      </rPr>
      <t>Cost per Mailpiece</t>
    </r>
  </si>
  <si>
    <t>Forms Generated at CIOSS/NCSC</t>
  </si>
  <si>
    <t>1. CIOSS/NCSC</t>
  </si>
  <si>
    <t>Forms Generated at CFS Units/Nixie Units</t>
  </si>
  <si>
    <t>2. Nixie Unit</t>
  </si>
  <si>
    <t>3. Mailstream</t>
  </si>
  <si>
    <t>4. Accountable Mail Clerk</t>
  </si>
  <si>
    <t>5. Carrier Delivery/Collection of Postage Due</t>
  </si>
  <si>
    <t>Total Form 3547 - CFS/Nixie ---&gt;</t>
  </si>
  <si>
    <t>1. CIOSS/NCSC &amp; CFS</t>
  </si>
  <si>
    <t>(6) Forms generated at CIOSS/NCSC are not consolidated into envelopes.</t>
  </si>
  <si>
    <t>(2) CIOSS/NCSC operations require no clerk work to generate address correction forms.</t>
  </si>
  <si>
    <t>(3) Refer to Table 3.40.  CIOSS/NCSC forms have a lower unit cost due to presorting.</t>
  </si>
  <si>
    <t>(9) Forms consolidated into envelopes.  Refer to Table 3.40 for factor.</t>
  </si>
  <si>
    <t>Table 3.11 - Cost of Form 3547: Part 2 - Forms Generated at CFS Units/Nixie Units</t>
  </si>
  <si>
    <t>Forms Generated at CFS Units and Nixie Units</t>
  </si>
  <si>
    <t>Total Form 3579</t>
  </si>
  <si>
    <t>(2) Refer to Table 3.40.</t>
  </si>
  <si>
    <t>(4) Refer to Table 3.39.</t>
  </si>
  <si>
    <t>(6) Forms consolidated into envelopes.  Refer to Table 3.40 for factor.</t>
  </si>
  <si>
    <t>Table 3.39 - Distribution of Form 3579 by Location</t>
  </si>
  <si>
    <t>Table 3.43 - Address Correction Service, Address Change Service (ACS) Electronic Notice Unit Cost Derivation</t>
  </si>
  <si>
    <t>Nixie Clerk Handling</t>
  </si>
  <si>
    <t>Electronic Notice Processing</t>
  </si>
  <si>
    <t>ACS COA Mail Activities at CIOSS/REC/CFS (10)</t>
  </si>
  <si>
    <t>ACS Nixie Mail Activities at CIOSS/REC/CFS (10)</t>
  </si>
  <si>
    <t>ACS Nixie Mail Activities at Nixie Unit (11)</t>
  </si>
  <si>
    <t>Manual Notice Processing (12)</t>
  </si>
  <si>
    <t>Table 3.44 - Address Correction Service, Address Change Service (ACS) Electronic Notice Unit Cost Derivation</t>
  </si>
  <si>
    <t>acs processing costs ---&gt;</t>
  </si>
  <si>
    <t>(1) Refer to Table 3.37.</t>
  </si>
  <si>
    <t>(4) Excludes activities associated with ACS nixie mail.</t>
  </si>
  <si>
    <t>(5) Excludes keying of Address Change Service (ACS) participant and keyline codes.</t>
  </si>
  <si>
    <t>Plant-Intercepted Old COA RTS (1)</t>
  </si>
  <si>
    <t>(1) Old COA mail (COA age 13-18 months) that is intercepted and returned.</t>
  </si>
  <si>
    <t>(17) Refer to Table 3.18 after subtracting out plant-intercepted old COA returned mail.</t>
  </si>
  <si>
    <t>CFS/CIOSS, Mail Process &amp; Trans</t>
  </si>
  <si>
    <t>Address Change Service (ACS) Nixie Mail Activities (3)</t>
  </si>
  <si>
    <t>Address Change Service (ACS) Nixie Mail Activities</t>
  </si>
  <si>
    <t>1. Mechanized Terminal (8)</t>
  </si>
  <si>
    <t xml:space="preserve">   g.  ACS Volume (7)</t>
  </si>
  <si>
    <t xml:space="preserve">   h.  Non-ACS Volume (7)</t>
  </si>
  <si>
    <t>PARS Environment, FY 15</t>
  </si>
  <si>
    <t>(1) Based on FY 15 piggyback factors.</t>
  </si>
  <si>
    <t>(7) Refer to PARS 15 Baseline Cost Model, CFS Module.</t>
  </si>
  <si>
    <t>(8) Refer to PARS 15 Baseline Cost Model, Nixie Module.</t>
  </si>
  <si>
    <t>(4) Refer to PARS 15 Baseline Cost Model, Postage Due Module.</t>
  </si>
  <si>
    <t>(3) Refer to PARS 15 Baseline Cost Model, Postage Due Module.</t>
  </si>
  <si>
    <t>(5) Refer to PARS 15 Baseline Cost Model, CFS Module.</t>
  </si>
  <si>
    <t>(7) Refer to PARS 15 Baseline Cost Model, Nixie Module.</t>
  </si>
  <si>
    <t>(2) Based on FY 15 piggyback factors.</t>
  </si>
  <si>
    <t>(1) Refer to PARS 15 Baseline Cost Model, Route Module.</t>
  </si>
  <si>
    <t>(3) Based on FCS database 04 adjusted for PARS environment and FY 15 growth.  Refer to PARS 15 Baseline Cost Model, Route Module.</t>
  </si>
  <si>
    <t>(3) Refer to PARS 15 Baseline Cost Model, Route Module and CFS Module.</t>
  </si>
  <si>
    <t>(4) Refer to PARS 15 Baseline Cost Model, Mail Processing and Transportation Module.</t>
  </si>
  <si>
    <t>(1) Refer to PARS 15 Baseline Cost Model, Nixie Module.</t>
  </si>
  <si>
    <t>(3) Includes keying, loading, &amp; sweeping.  Refer to PARS 15 Baseline Cost Model, CFS Module.</t>
  </si>
  <si>
    <t>(1) Refer to PARS 15 Baseline Cost Model, CFS Module.</t>
  </si>
  <si>
    <t>(1) Refer to PARS 15 Baseline CFS Module.</t>
  </si>
  <si>
    <t>(1) Refer to FCS Database 04, USPS-LR-L-61.</t>
  </si>
  <si>
    <t>(2) Based on Delivery Unit Route Survey, USPS-LR-L-61.</t>
  </si>
  <si>
    <t>(3) Wrong extract code entered; piece rekeyed.  From CFS Unit Rekey Survey, USPS-LR-L-61.</t>
  </si>
  <si>
    <t>(4) Two or more labels generated for one piece.  From CFS Unit Rekey Survey, USPS-LR-L-61.</t>
  </si>
  <si>
    <t>(3) Based on FY 15 piggyback factors.</t>
  </si>
  <si>
    <t>(2) Refer to PARS 15 Baseline Cost Model, CIOSS Module.</t>
  </si>
  <si>
    <t>(2) Refer to PARS 15 Baseline Cost Model, REC Module.</t>
  </si>
  <si>
    <t>(1) Refer to PARS 15 Baseline Cost Model, REC Module.  CIOSS rejects excluded.</t>
  </si>
  <si>
    <t>(3) Based on CRA FY 15 C/S 14 First-Class Mail transportation (all shapes), USPS-LR-L-7.</t>
  </si>
  <si>
    <t>(1) Refer to PARS 15 Baseline Cost Model, Mail Processing and Transportation Module.  Savings associated with the obsolete automation portion of the RTS program are realized in the CIOSS and REC Modules.</t>
  </si>
  <si>
    <t>(1) Refer to PARS 15 Baseline Cost Model, Postage Due Module.</t>
  </si>
  <si>
    <t>(1) Refer to PARS 15 Baseline Cost Model, CIOSS Module.</t>
  </si>
  <si>
    <t>(2) Refer to PARS 15 Baseline Cost Model, Postage Due Module.</t>
  </si>
  <si>
    <t>(7) Based on FY 15 labor rates.</t>
  </si>
  <si>
    <t>(1) Developed from CFS Unit 3547 Batching Survey, USPS-LR-L-61.</t>
  </si>
  <si>
    <t>(5) Based on Delivery Unit Route Survey, USPS-LR-L-61, adjusted for TY 08 volume growth.</t>
  </si>
  <si>
    <t>(6) Based on Delivery Unit Nixie Survey, USPS-LR-L-61, adjusted for TY 08 volume growth.</t>
  </si>
  <si>
    <t>(2) Refer to the PARS 15 Baseline Cost Model, Route Module.</t>
  </si>
  <si>
    <t>(4)  Refer to PARS 15 Baseline Cost Model, Mail Processing and Transportation Module.</t>
  </si>
  <si>
    <t>FY  15</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</si>
</sst>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
    <numFmt numFmtId="165" formatCode="&quot;$&quot;#,##0"/>
    <numFmt numFmtId="166" formatCode="0.000000"/>
    <numFmt numFmtId="167" formatCode="&quot;$&quot;#,##0.000000"/>
    <numFmt numFmtId="168" formatCode="0.0000"/>
    <numFmt numFmtId="169" formatCode="0.000"/>
    <numFmt numFmtId="170" formatCode="&quot;$&quot;#,##0.00000"/>
    <numFmt numFmtId="171" formatCode="&quot;$&quot;#,##0.000"/>
    <numFmt numFmtId="172" formatCode="&quot;$&quot;#,##0.00"/>
    <numFmt numFmtId="173" formatCode="#,##0.0"/>
    <numFmt numFmtId="174" formatCode="#,##0.000"/>
    <numFmt numFmtId="175" formatCode="0.0%"/>
    <numFmt numFmtId="176" formatCode="#,##0.0000"/>
    <numFmt numFmtId="177" formatCode="#,##0.00000"/>
    <numFmt numFmtId="178" formatCode="&quot;$&quot;#,##0.0;\(&quot;$&quot;#,##0.0\)"/>
    <numFmt numFmtId="179" formatCode="#,##0.0000000"/>
    <numFmt numFmtId="180" formatCode="#,##0.00000000"/>
    <numFmt numFmtId="181" formatCode="#,##0.000000000"/>
    <numFmt numFmtId="182" formatCode="#,##0.0000000000"/>
    <numFmt numFmtId="183" formatCode="#,##0.000000"/>
    <numFmt numFmtId="184" formatCode="&quot;$&quot;#,##0.0"/>
    <numFmt numFmtId="185" formatCode="&quot;$&quot;#,##0.0000000"/>
    <numFmt numFmtId="186" formatCode="0.000%"/>
    <numFmt numFmtId="187" formatCode="0.0000%"/>
    <numFmt numFmtId="188" formatCode="0.00000%"/>
    <numFmt numFmtId="189" formatCode="0.000000%"/>
  </numFmts>
  <fonts count="49">
    <font>
      <sz val="10"/>
      <name val="Arial"/>
      <family val="0"/>
    </font>
    <font>
      <u val="single"/>
      <sz val="10"/>
      <name val="Arial"/>
      <family val="2"/>
    </font>
    <font>
      <b/>
      <sz val="10"/>
      <name val="Arial"/>
      <family val="2"/>
    </font>
    <font>
      <sz val="8"/>
      <name val="Arial"/>
      <family val="2"/>
    </font>
    <font>
      <sz val="12"/>
      <name val="Helv"/>
      <family val="0"/>
    </font>
    <font>
      <u val="single"/>
      <sz val="10"/>
      <color indexed="36"/>
      <name val="Arial"/>
      <family val="2"/>
    </font>
    <font>
      <u val="single"/>
      <sz val="10"/>
      <color indexed="12"/>
      <name val="Arial"/>
      <family val="2"/>
    </font>
    <font>
      <sz val="10"/>
      <color indexed="12"/>
      <name val="Arial"/>
      <family val="2"/>
    </font>
    <font>
      <u val="single"/>
      <sz val="7.5"/>
      <name val="Arial"/>
      <family val="2"/>
    </font>
    <font>
      <b/>
      <u val="single"/>
      <sz val="10"/>
      <name val="Arial"/>
      <family val="2"/>
    </font>
    <font>
      <b/>
      <sz val="12"/>
      <name val="Arial"/>
      <family val="2"/>
    </font>
    <font>
      <b/>
      <sz val="14"/>
      <name val="Arial"/>
      <family val="2"/>
    </font>
    <font>
      <sz val="8"/>
      <name val="Tahoma"/>
      <family val="2"/>
    </font>
    <font>
      <b/>
      <sz val="8"/>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s>
  <borders count="51">
    <border>
      <left/>
      <right/>
      <top/>
      <bottom/>
      <diagonal/>
    </border>
    <border>
      <left>
        <color indexed="63"/>
      </left>
      <right>
        <color indexed="63"/>
      </right>
      <top>
        <color indexed="63"/>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style="thin"/>
      <bottom style="thin"/>
    </border>
    <border>
      <left>
        <color indexed="63"/>
      </left>
      <right style="thin"/>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4" fillId="0" borderId="1" applyBorder="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2" applyNumberFormat="0" applyAlignment="0" applyProtection="0"/>
    <xf numFmtId="0" fontId="35"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2" applyNumberFormat="0" applyAlignment="0" applyProtection="0"/>
    <xf numFmtId="0" fontId="42" fillId="0" borderId="7" applyNumberFormat="0" applyFill="0" applyAlignment="0" applyProtection="0"/>
    <xf numFmtId="180" fontId="0" fillId="0" borderId="0" applyFont="0" applyFill="0" applyBorder="0" applyAlignment="0" applyProtection="0"/>
    <xf numFmtId="182"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0" fontId="43" fillId="31" borderId="0" applyNumberFormat="0" applyBorder="0" applyAlignment="0" applyProtection="0"/>
    <xf numFmtId="178" fontId="0" fillId="0" borderId="0">
      <alignment/>
      <protection/>
    </xf>
    <xf numFmtId="0" fontId="0" fillId="32" borderId="8" applyNumberFormat="0" applyFont="0" applyAlignment="0" applyProtection="0"/>
    <xf numFmtId="0" fontId="44" fillId="27" borderId="9"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cellStyleXfs>
  <cellXfs count="615">
    <xf numFmtId="0" fontId="0" fillId="0" borderId="0" xfId="0" applyAlignment="1">
      <alignment/>
    </xf>
    <xf numFmtId="0" fontId="0" fillId="0" borderId="0" xfId="0" applyFont="1" applyBorder="1" applyAlignment="1">
      <alignment horizontal="centerContinuous"/>
    </xf>
    <xf numFmtId="0" fontId="0" fillId="0" borderId="0" xfId="0" applyFont="1" applyBorder="1" applyAlignment="1">
      <alignment horizontal="left"/>
    </xf>
    <xf numFmtId="164" fontId="0" fillId="0" borderId="0" xfId="0" applyNumberFormat="1" applyFont="1" applyBorder="1" applyAlignment="1">
      <alignment horizontal="center" wrapText="1"/>
    </xf>
    <xf numFmtId="0" fontId="0" fillId="0" borderId="0" xfId="0" applyFont="1" applyBorder="1" applyAlignment="1">
      <alignment/>
    </xf>
    <xf numFmtId="0" fontId="2" fillId="0" borderId="0" xfId="0" applyFont="1" applyBorder="1" applyAlignment="1">
      <alignment/>
    </xf>
    <xf numFmtId="3" fontId="0" fillId="0" borderId="0" xfId="0" applyNumberFormat="1" applyAlignment="1">
      <alignment/>
    </xf>
    <xf numFmtId="3" fontId="0" fillId="0" borderId="0" xfId="0" applyNumberFormat="1" applyFont="1" applyBorder="1" applyAlignment="1">
      <alignment wrapText="1"/>
    </xf>
    <xf numFmtId="164" fontId="1" fillId="0" borderId="0" xfId="0" applyNumberFormat="1" applyFont="1" applyBorder="1" applyAlignment="1">
      <alignment horizontal="center" wrapText="1"/>
    </xf>
    <xf numFmtId="164" fontId="0" fillId="0" borderId="0" xfId="0" applyNumberFormat="1" applyFont="1" applyBorder="1" applyAlignment="1" quotePrefix="1">
      <alignment horizontal="center" wrapText="1"/>
    </xf>
    <xf numFmtId="3" fontId="0" fillId="0" borderId="1" xfId="0" applyNumberFormat="1" applyBorder="1" applyAlignment="1">
      <alignment/>
    </xf>
    <xf numFmtId="0" fontId="0" fillId="0" borderId="0" xfId="0" applyFont="1" applyAlignment="1">
      <alignment/>
    </xf>
    <xf numFmtId="0" fontId="0" fillId="0" borderId="0" xfId="0" applyAlignment="1" quotePrefix="1">
      <alignment horizontal="left"/>
    </xf>
    <xf numFmtId="0" fontId="0" fillId="0" borderId="0" xfId="0" applyAlignment="1">
      <alignment horizontal="left"/>
    </xf>
    <xf numFmtId="0" fontId="0" fillId="0" borderId="0" xfId="0" applyAlignment="1">
      <alignment horizontal="right"/>
    </xf>
    <xf numFmtId="0" fontId="2" fillId="0" borderId="0" xfId="0" applyFont="1" applyAlignment="1" quotePrefix="1">
      <alignment horizontal="left"/>
    </xf>
    <xf numFmtId="0" fontId="2" fillId="0" borderId="0" xfId="0" applyFont="1" applyAlignment="1">
      <alignment/>
    </xf>
    <xf numFmtId="0" fontId="2" fillId="0" borderId="0" xfId="0" applyFont="1" applyAlignment="1">
      <alignment horizontal="centerContinuous"/>
    </xf>
    <xf numFmtId="0" fontId="0" fillId="0" borderId="0" xfId="0" applyBorder="1" applyAlignment="1">
      <alignment/>
    </xf>
    <xf numFmtId="0" fontId="2" fillId="0" borderId="0" xfId="0" applyFont="1" applyBorder="1" applyAlignment="1">
      <alignment horizontal="left"/>
    </xf>
    <xf numFmtId="0" fontId="0" fillId="0" borderId="0" xfId="0" applyFont="1" applyBorder="1" applyAlignment="1" quotePrefix="1">
      <alignment horizontal="left"/>
    </xf>
    <xf numFmtId="0" fontId="0" fillId="0" borderId="0" xfId="0" applyFont="1" applyAlignment="1">
      <alignment horizontal="left" indent="1"/>
    </xf>
    <xf numFmtId="171" fontId="0" fillId="0" borderId="0" xfId="0" applyNumberFormat="1" applyAlignment="1">
      <alignment/>
    </xf>
    <xf numFmtId="0" fontId="0" fillId="0" borderId="0" xfId="0" applyFont="1" applyBorder="1" applyAlignment="1">
      <alignment horizontal="right"/>
    </xf>
    <xf numFmtId="0" fontId="0" fillId="0" borderId="0" xfId="0" applyFont="1" applyAlignment="1">
      <alignment horizontal="left"/>
    </xf>
    <xf numFmtId="0" fontId="0" fillId="0" borderId="0" xfId="0" applyFont="1" applyAlignment="1" quotePrefix="1">
      <alignment horizontal="left"/>
    </xf>
    <xf numFmtId="2" fontId="0" fillId="0" borderId="0" xfId="0" applyNumberFormat="1" applyBorder="1" applyAlignment="1">
      <alignment horizontal="right"/>
    </xf>
    <xf numFmtId="0" fontId="0" fillId="0" borderId="0" xfId="0" applyFill="1" applyAlignment="1">
      <alignment/>
    </xf>
    <xf numFmtId="0" fontId="0" fillId="0" borderId="0" xfId="0" applyAlignment="1" quotePrefix="1">
      <alignment horizontal="left" indent="1"/>
    </xf>
    <xf numFmtId="10" fontId="0" fillId="0" borderId="0" xfId="0" applyNumberFormat="1" applyAlignment="1">
      <alignment/>
    </xf>
    <xf numFmtId="3" fontId="0" fillId="0" borderId="1" xfId="0" applyNumberFormat="1" applyFill="1" applyBorder="1" applyAlignment="1">
      <alignment/>
    </xf>
    <xf numFmtId="3" fontId="0" fillId="0" borderId="0" xfId="0" applyNumberFormat="1" applyFont="1" applyFill="1" applyAlignment="1">
      <alignment/>
    </xf>
    <xf numFmtId="3" fontId="0" fillId="0" borderId="0" xfId="0" applyNumberFormat="1" applyFill="1" applyAlignment="1">
      <alignment/>
    </xf>
    <xf numFmtId="172" fontId="0" fillId="0" borderId="0" xfId="0" applyNumberFormat="1" applyFill="1" applyAlignment="1">
      <alignment/>
    </xf>
    <xf numFmtId="0" fontId="2" fillId="0" borderId="0" xfId="0" applyFont="1" applyAlignment="1">
      <alignment horizontal="center"/>
    </xf>
    <xf numFmtId="164" fontId="0" fillId="0" borderId="0" xfId="0" applyNumberFormat="1" applyFill="1" applyAlignment="1">
      <alignment/>
    </xf>
    <xf numFmtId="0" fontId="0" fillId="0" borderId="0" xfId="0" applyFont="1" applyAlignment="1">
      <alignment horizontal="centerContinuous"/>
    </xf>
    <xf numFmtId="3" fontId="0" fillId="0" borderId="0" xfId="0" applyNumberFormat="1" applyFont="1" applyBorder="1" applyAlignment="1">
      <alignment/>
    </xf>
    <xf numFmtId="164" fontId="0" fillId="0" borderId="0" xfId="0" applyNumberFormat="1" applyFont="1" applyBorder="1" applyAlignment="1">
      <alignment/>
    </xf>
    <xf numFmtId="165" fontId="0" fillId="0" borderId="0" xfId="0" applyNumberFormat="1" applyFont="1" applyBorder="1" applyAlignment="1">
      <alignment/>
    </xf>
    <xf numFmtId="3" fontId="0" fillId="0" borderId="0" xfId="0" applyNumberFormat="1" applyFont="1" applyBorder="1" applyAlignment="1">
      <alignment horizontal="right" wrapText="1"/>
    </xf>
    <xf numFmtId="164" fontId="0" fillId="0" borderId="0" xfId="0" applyNumberFormat="1" applyFont="1" applyBorder="1" applyAlignment="1">
      <alignment horizontal="right" wrapText="1"/>
    </xf>
    <xf numFmtId="165" fontId="0" fillId="0" borderId="0" xfId="0" applyNumberFormat="1" applyFont="1" applyBorder="1" applyAlignment="1">
      <alignment horizontal="right" wrapText="1"/>
    </xf>
    <xf numFmtId="0" fontId="0" fillId="0" borderId="0" xfId="0" applyFont="1" applyBorder="1" applyAlignment="1">
      <alignment horizontal="left" wrapText="1"/>
    </xf>
    <xf numFmtId="3" fontId="0" fillId="0" borderId="0" xfId="0" applyNumberFormat="1" applyFont="1" applyBorder="1" applyAlignment="1">
      <alignment horizontal="right"/>
    </xf>
    <xf numFmtId="164" fontId="0" fillId="0" borderId="0" xfId="0" applyNumberFormat="1" applyFont="1" applyBorder="1" applyAlignment="1">
      <alignment horizontal="right"/>
    </xf>
    <xf numFmtId="165" fontId="0" fillId="0" borderId="0" xfId="0" applyNumberFormat="1" applyFont="1" applyBorder="1" applyAlignment="1">
      <alignment horizontal="right"/>
    </xf>
    <xf numFmtId="0" fontId="0" fillId="0" borderId="0" xfId="0" applyFont="1" applyAlignment="1">
      <alignment/>
    </xf>
    <xf numFmtId="0" fontId="0" fillId="0" borderId="0" xfId="0" applyFont="1" applyAlignment="1">
      <alignment horizontal="right"/>
    </xf>
    <xf numFmtId="0" fontId="2" fillId="0" borderId="0" xfId="0" applyFont="1" applyAlignment="1">
      <alignment horizontal="left"/>
    </xf>
    <xf numFmtId="2" fontId="0" fillId="0" borderId="0" xfId="0" applyNumberFormat="1" applyFont="1" applyBorder="1" applyAlignment="1">
      <alignment/>
    </xf>
    <xf numFmtId="0" fontId="0" fillId="0" borderId="0" xfId="0" applyFont="1" applyAlignment="1">
      <alignment horizontal="center"/>
    </xf>
    <xf numFmtId="165" fontId="0" fillId="0" borderId="0" xfId="0" applyNumberFormat="1" applyFont="1" applyAlignment="1">
      <alignment/>
    </xf>
    <xf numFmtId="3" fontId="0" fillId="0" borderId="0" xfId="0" applyNumberFormat="1" applyFont="1" applyAlignment="1">
      <alignment/>
    </xf>
    <xf numFmtId="175" fontId="0" fillId="0" borderId="0" xfId="0" applyNumberFormat="1" applyFont="1" applyFill="1" applyBorder="1" applyAlignment="1">
      <alignment horizontal="right" wrapText="1"/>
    </xf>
    <xf numFmtId="175" fontId="0" fillId="0" borderId="0" xfId="0" applyNumberFormat="1" applyFont="1" applyFill="1" applyBorder="1" applyAlignment="1">
      <alignment horizontal="right"/>
    </xf>
    <xf numFmtId="168" fontId="0" fillId="0" borderId="0" xfId="0" applyNumberFormat="1" applyFont="1" applyBorder="1" applyAlignment="1">
      <alignment horizontal="right" wrapText="1"/>
    </xf>
    <xf numFmtId="168" fontId="0" fillId="0" borderId="0" xfId="0" applyNumberFormat="1" applyFont="1" applyBorder="1" applyAlignment="1">
      <alignment horizontal="right"/>
    </xf>
    <xf numFmtId="0" fontId="0" fillId="0" borderId="0" xfId="0" applyFont="1" applyBorder="1" applyAlignment="1">
      <alignment wrapText="1"/>
    </xf>
    <xf numFmtId="168" fontId="0" fillId="0" borderId="0" xfId="0" applyNumberFormat="1" applyFont="1" applyAlignment="1">
      <alignment horizontal="centerContinuous"/>
    </xf>
    <xf numFmtId="172" fontId="0" fillId="0" borderId="0" xfId="0" applyNumberFormat="1" applyFont="1" applyAlignment="1">
      <alignment horizontal="centerContinuous"/>
    </xf>
    <xf numFmtId="164" fontId="0" fillId="0" borderId="0" xfId="0" applyNumberFormat="1" applyFont="1" applyAlignment="1">
      <alignment horizontal="centerContinuous"/>
    </xf>
    <xf numFmtId="168" fontId="0" fillId="0" borderId="0" xfId="0" applyNumberFormat="1" applyFont="1" applyAlignment="1">
      <alignment/>
    </xf>
    <xf numFmtId="172" fontId="0" fillId="0" borderId="0" xfId="0" applyNumberFormat="1" applyFont="1" applyAlignment="1">
      <alignment/>
    </xf>
    <xf numFmtId="164" fontId="0" fillId="0" borderId="0" xfId="0" applyNumberFormat="1" applyFont="1" applyAlignment="1">
      <alignment/>
    </xf>
    <xf numFmtId="168" fontId="0" fillId="0" borderId="0" xfId="0" applyNumberFormat="1" applyFont="1" applyBorder="1" applyAlignment="1">
      <alignment/>
    </xf>
    <xf numFmtId="0" fontId="0" fillId="0" borderId="0" xfId="0" applyFont="1" applyFill="1" applyBorder="1" applyAlignment="1">
      <alignment/>
    </xf>
    <xf numFmtId="165" fontId="0" fillId="0" borderId="0" xfId="0" applyNumberFormat="1" applyFont="1" applyFill="1" applyBorder="1" applyAlignment="1">
      <alignment horizontal="right"/>
    </xf>
    <xf numFmtId="175" fontId="0" fillId="0" borderId="0" xfId="0" applyNumberFormat="1" applyFont="1" applyBorder="1" applyAlignment="1">
      <alignment horizontal="left" wrapText="1"/>
    </xf>
    <xf numFmtId="168" fontId="7" fillId="0" borderId="0" xfId="0" applyNumberFormat="1" applyFont="1" applyBorder="1" applyAlignment="1">
      <alignment/>
    </xf>
    <xf numFmtId="165" fontId="7" fillId="0" borderId="0" xfId="0" applyNumberFormat="1" applyFont="1" applyBorder="1" applyAlignment="1">
      <alignment/>
    </xf>
    <xf numFmtId="164" fontId="7" fillId="0" borderId="0" xfId="0" applyNumberFormat="1" applyFont="1" applyBorder="1" applyAlignment="1">
      <alignment/>
    </xf>
    <xf numFmtId="175" fontId="0" fillId="0" borderId="0" xfId="0" applyNumberFormat="1" applyFont="1" applyBorder="1" applyAlignment="1">
      <alignment horizontal="right" wrapText="1"/>
    </xf>
    <xf numFmtId="2" fontId="0" fillId="0" borderId="0" xfId="0" applyNumberFormat="1" applyFont="1" applyAlignment="1">
      <alignment horizontal="centerContinuous"/>
    </xf>
    <xf numFmtId="10" fontId="0" fillId="0" borderId="0" xfId="0" applyNumberFormat="1" applyFont="1" applyFill="1" applyBorder="1" applyAlignment="1">
      <alignment horizontal="center" wrapText="1"/>
    </xf>
    <xf numFmtId="10" fontId="0" fillId="0" borderId="0" xfId="0" applyNumberFormat="1" applyFont="1" applyFill="1" applyBorder="1" applyAlignment="1">
      <alignment horizontal="right" wrapText="1"/>
    </xf>
    <xf numFmtId="10" fontId="0" fillId="0" borderId="0" xfId="0" applyNumberFormat="1" applyFont="1" applyFill="1" applyBorder="1" applyAlignment="1">
      <alignment horizontal="right"/>
    </xf>
    <xf numFmtId="2" fontId="0" fillId="0" borderId="0" xfId="0" applyNumberFormat="1" applyFont="1" applyAlignment="1">
      <alignment/>
    </xf>
    <xf numFmtId="10" fontId="0" fillId="0" borderId="0" xfId="0" applyNumberFormat="1" applyFont="1" applyFill="1" applyAlignment="1">
      <alignment/>
    </xf>
    <xf numFmtId="175" fontId="0" fillId="0" borderId="0" xfId="0" applyNumberFormat="1" applyFont="1" applyBorder="1" applyAlignment="1">
      <alignment horizontal="right"/>
    </xf>
    <xf numFmtId="175" fontId="0" fillId="0" borderId="0" xfId="0" applyNumberFormat="1" applyFont="1" applyBorder="1" applyAlignment="1">
      <alignment/>
    </xf>
    <xf numFmtId="0" fontId="0" fillId="0" borderId="0" xfId="0" applyFont="1" applyAlignment="1">
      <alignment horizontal="left" indent="2"/>
    </xf>
    <xf numFmtId="0" fontId="0" fillId="0" borderId="0" xfId="0" applyFont="1" applyAlignment="1" quotePrefix="1">
      <alignment horizontal="left" indent="2"/>
    </xf>
    <xf numFmtId="171" fontId="0" fillId="0" borderId="0" xfId="0" applyNumberFormat="1" applyFont="1" applyBorder="1" applyAlignment="1">
      <alignment horizontal="right" wrapText="1"/>
    </xf>
    <xf numFmtId="170" fontId="0" fillId="0" borderId="0" xfId="0" applyNumberFormat="1" applyFont="1" applyAlignment="1">
      <alignment/>
    </xf>
    <xf numFmtId="171" fontId="0" fillId="0" borderId="0" xfId="0" applyNumberFormat="1" applyFont="1" applyBorder="1" applyAlignment="1">
      <alignment horizontal="right"/>
    </xf>
    <xf numFmtId="171" fontId="0" fillId="0" borderId="0" xfId="0" applyNumberFormat="1" applyFont="1" applyAlignment="1">
      <alignment/>
    </xf>
    <xf numFmtId="10" fontId="0" fillId="0" borderId="0" xfId="0" applyNumberFormat="1" applyFont="1" applyFill="1" applyBorder="1" applyAlignment="1" quotePrefix="1">
      <alignment horizontal="center" wrapText="1"/>
    </xf>
    <xf numFmtId="171" fontId="0" fillId="0" borderId="0" xfId="0" applyNumberFormat="1" applyFont="1" applyBorder="1" applyAlignment="1">
      <alignment/>
    </xf>
    <xf numFmtId="0" fontId="0" fillId="0" borderId="0" xfId="0" applyFont="1" applyAlignment="1" quotePrefix="1">
      <alignment horizontal="left" indent="1"/>
    </xf>
    <xf numFmtId="10" fontId="0" fillId="0" borderId="0" xfId="0" applyNumberFormat="1" applyFont="1" applyAlignment="1">
      <alignment/>
    </xf>
    <xf numFmtId="0" fontId="2" fillId="0" borderId="0" xfId="0" applyFont="1" applyBorder="1" applyAlignment="1" quotePrefix="1">
      <alignment horizontal="left"/>
    </xf>
    <xf numFmtId="171" fontId="0" fillId="0" borderId="0" xfId="0" applyNumberFormat="1" applyFont="1" applyAlignment="1">
      <alignment horizontal="right"/>
    </xf>
    <xf numFmtId="2" fontId="0" fillId="0" borderId="0" xfId="0" applyNumberFormat="1" applyFont="1" applyAlignment="1">
      <alignment horizontal="left"/>
    </xf>
    <xf numFmtId="168" fontId="0" fillId="0" borderId="0" xfId="0" applyNumberFormat="1" applyFont="1" applyAlignment="1">
      <alignment horizontal="left"/>
    </xf>
    <xf numFmtId="172" fontId="0" fillId="0" borderId="0" xfId="0" applyNumberFormat="1" applyFont="1" applyAlignment="1">
      <alignment horizontal="left"/>
    </xf>
    <xf numFmtId="164" fontId="0" fillId="0" borderId="0" xfId="0" applyNumberFormat="1" applyFont="1" applyAlignment="1">
      <alignment horizontal="left"/>
    </xf>
    <xf numFmtId="0" fontId="0" fillId="0" borderId="0" xfId="0" applyFont="1" applyBorder="1" applyAlignment="1">
      <alignment horizontal="left" indent="1"/>
    </xf>
    <xf numFmtId="0" fontId="0" fillId="0" borderId="0" xfId="0" applyFont="1" applyBorder="1" applyAlignment="1" quotePrefix="1">
      <alignment horizontal="left" indent="1"/>
    </xf>
    <xf numFmtId="0" fontId="0" fillId="0" borderId="0" xfId="0" applyFont="1" applyBorder="1" applyAlignment="1">
      <alignment horizontal="left" indent="2"/>
    </xf>
    <xf numFmtId="0" fontId="0" fillId="0" borderId="0" xfId="0" applyFont="1" applyBorder="1" applyAlignment="1" quotePrefix="1">
      <alignment horizontal="left" indent="2"/>
    </xf>
    <xf numFmtId="0" fontId="0" fillId="0" borderId="0" xfId="0" applyBorder="1" applyAlignment="1" quotePrefix="1">
      <alignment horizontal="left" wrapText="1" indent="1"/>
    </xf>
    <xf numFmtId="0" fontId="1" fillId="0" borderId="0" xfId="0" applyFont="1" applyBorder="1" applyAlignment="1">
      <alignment/>
    </xf>
    <xf numFmtId="171" fontId="0" fillId="0" borderId="0" xfId="0" applyNumberFormat="1" applyFont="1" applyBorder="1" applyAlignment="1">
      <alignment horizontal="center"/>
    </xf>
    <xf numFmtId="175" fontId="0" fillId="0" borderId="0" xfId="0" applyNumberFormat="1" applyFont="1" applyFill="1" applyBorder="1" applyAlignment="1">
      <alignment horizontal="center" wrapText="1"/>
    </xf>
    <xf numFmtId="3" fontId="0" fillId="0" borderId="0" xfId="0" applyNumberFormat="1" applyAlignment="1">
      <alignment horizontal="right"/>
    </xf>
    <xf numFmtId="0" fontId="9" fillId="0" borderId="0" xfId="0" applyFont="1" applyAlignment="1">
      <alignment horizontal="right"/>
    </xf>
    <xf numFmtId="0" fontId="0" fillId="0" borderId="0" xfId="0" applyAlignment="1">
      <alignment horizontal="centerContinuous"/>
    </xf>
    <xf numFmtId="0" fontId="9" fillId="0" borderId="0" xfId="0" applyFont="1" applyAlignment="1">
      <alignment horizontal="centerContinuous"/>
    </xf>
    <xf numFmtId="10" fontId="0" fillId="0" borderId="0" xfId="0" applyNumberFormat="1" applyFont="1" applyBorder="1" applyAlignment="1">
      <alignment/>
    </xf>
    <xf numFmtId="0" fontId="0" fillId="0" borderId="0" xfId="0" applyBorder="1" applyAlignment="1">
      <alignment horizontal="left" indent="1"/>
    </xf>
    <xf numFmtId="0" fontId="2" fillId="0" borderId="0" xfId="0" applyFont="1" applyAlignment="1">
      <alignment horizontal="left" indent="2"/>
    </xf>
    <xf numFmtId="0" fontId="0" fillId="0" borderId="0" xfId="0" applyBorder="1" applyAlignment="1" quotePrefix="1">
      <alignment horizontal="left" indent="1"/>
    </xf>
    <xf numFmtId="165" fontId="0" fillId="0" borderId="0" xfId="0" applyNumberFormat="1" applyBorder="1" applyAlignment="1">
      <alignment/>
    </xf>
    <xf numFmtId="0" fontId="0" fillId="0" borderId="0" xfId="0" applyBorder="1" applyAlignment="1" quotePrefix="1">
      <alignment horizontal="left" wrapText="1" indent="2"/>
    </xf>
    <xf numFmtId="172" fontId="0" fillId="0" borderId="0" xfId="0" applyNumberFormat="1" applyBorder="1" applyAlignment="1">
      <alignment horizontal="right"/>
    </xf>
    <xf numFmtId="164" fontId="0" fillId="0" borderId="11" xfId="0" applyNumberFormat="1" applyFill="1" applyBorder="1" applyAlignment="1" quotePrefix="1">
      <alignment horizontal="center"/>
    </xf>
    <xf numFmtId="169" fontId="0" fillId="0" borderId="0" xfId="0" applyNumberFormat="1" applyAlignment="1">
      <alignment horizontal="right"/>
    </xf>
    <xf numFmtId="9" fontId="0" fillId="0" borderId="0" xfId="0" applyNumberFormat="1" applyAlignment="1">
      <alignment/>
    </xf>
    <xf numFmtId="172" fontId="0" fillId="0" borderId="0" xfId="0" applyNumberFormat="1" applyFill="1" applyAlignment="1">
      <alignment horizontal="right"/>
    </xf>
    <xf numFmtId="170" fontId="0" fillId="0" borderId="0" xfId="0" applyNumberFormat="1" applyAlignment="1">
      <alignment/>
    </xf>
    <xf numFmtId="171" fontId="0" fillId="0" borderId="0" xfId="0" applyNumberFormat="1" applyAlignment="1">
      <alignment horizontal="right"/>
    </xf>
    <xf numFmtId="0" fontId="0" fillId="33" borderId="0" xfId="0" applyFill="1" applyBorder="1" applyAlignment="1">
      <alignment/>
    </xf>
    <xf numFmtId="0" fontId="0" fillId="33" borderId="0" xfId="0" applyFill="1" applyBorder="1" applyAlignment="1">
      <alignment horizontal="right"/>
    </xf>
    <xf numFmtId="174" fontId="0" fillId="33" borderId="0" xfId="0" applyNumberFormat="1" applyFill="1" applyBorder="1" applyAlignment="1">
      <alignment/>
    </xf>
    <xf numFmtId="0" fontId="0" fillId="0" borderId="0" xfId="0" applyFont="1" applyFill="1" applyBorder="1" applyAlignment="1" quotePrefix="1">
      <alignment horizontal="left"/>
    </xf>
    <xf numFmtId="0" fontId="0" fillId="33" borderId="0" xfId="0" applyFont="1" applyFill="1" applyAlignment="1">
      <alignment/>
    </xf>
    <xf numFmtId="0" fontId="0" fillId="33" borderId="0" xfId="0" applyFont="1" applyFill="1" applyAlignment="1">
      <alignment horizontal="right"/>
    </xf>
    <xf numFmtId="176" fontId="0" fillId="33" borderId="0" xfId="0" applyNumberFormat="1" applyFont="1" applyFill="1" applyAlignment="1">
      <alignment/>
    </xf>
    <xf numFmtId="3" fontId="0" fillId="33" borderId="0" xfId="0" applyNumberFormat="1" applyFont="1" applyFill="1" applyAlignment="1">
      <alignment/>
    </xf>
    <xf numFmtId="164" fontId="0" fillId="33" borderId="0" xfId="0" applyNumberFormat="1" applyFont="1" applyFill="1" applyAlignment="1">
      <alignment/>
    </xf>
    <xf numFmtId="0" fontId="2" fillId="0" borderId="0" xfId="0" applyFont="1" applyBorder="1" applyAlignment="1" quotePrefix="1">
      <alignment horizontal="right"/>
    </xf>
    <xf numFmtId="0" fontId="0" fillId="33" borderId="0" xfId="0" applyFill="1" applyAlignment="1">
      <alignment/>
    </xf>
    <xf numFmtId="176" fontId="0" fillId="33" borderId="0" xfId="0" applyNumberFormat="1" applyFill="1" applyAlignment="1">
      <alignment/>
    </xf>
    <xf numFmtId="176" fontId="0" fillId="0" borderId="0" xfId="0" applyNumberFormat="1" applyFill="1" applyAlignment="1">
      <alignment/>
    </xf>
    <xf numFmtId="3" fontId="0" fillId="0" borderId="0" xfId="0" applyNumberFormat="1" applyFont="1" applyAlignment="1">
      <alignment horizontal="right"/>
    </xf>
    <xf numFmtId="164" fontId="0" fillId="0" borderId="0" xfId="0" applyNumberFormat="1" applyFont="1" applyAlignment="1" quotePrefix="1">
      <alignment horizontal="left"/>
    </xf>
    <xf numFmtId="3" fontId="0" fillId="33" borderId="0" xfId="0" applyNumberFormat="1" applyFill="1" applyAlignment="1">
      <alignment/>
    </xf>
    <xf numFmtId="177" fontId="0" fillId="33" borderId="0" xfId="0" applyNumberFormat="1" applyFont="1" applyFill="1" applyAlignment="1">
      <alignment/>
    </xf>
    <xf numFmtId="176" fontId="0" fillId="33" borderId="0" xfId="0" applyNumberFormat="1" applyFont="1" applyFill="1" applyBorder="1" applyAlignment="1">
      <alignment/>
    </xf>
    <xf numFmtId="0" fontId="0" fillId="0" borderId="0" xfId="0" applyFont="1" applyFill="1" applyAlignment="1">
      <alignment/>
    </xf>
    <xf numFmtId="0" fontId="0" fillId="0" borderId="1" xfId="0" applyFont="1" applyBorder="1" applyAlignment="1">
      <alignment/>
    </xf>
    <xf numFmtId="176" fontId="0" fillId="0" borderId="0" xfId="0" applyNumberFormat="1" applyAlignment="1">
      <alignment horizontal="right"/>
    </xf>
    <xf numFmtId="177" fontId="0" fillId="33" borderId="0" xfId="0" applyNumberFormat="1" applyFill="1" applyAlignment="1">
      <alignment/>
    </xf>
    <xf numFmtId="0" fontId="0" fillId="0" borderId="1" xfId="0" applyFont="1" applyBorder="1" applyAlignment="1" quotePrefix="1">
      <alignment horizontal="left"/>
    </xf>
    <xf numFmtId="0" fontId="0" fillId="0" borderId="0" xfId="0" applyFont="1" applyFill="1" applyAlignment="1" quotePrefix="1">
      <alignment horizontal="left"/>
    </xf>
    <xf numFmtId="165" fontId="0" fillId="0" borderId="0" xfId="0" applyNumberFormat="1" applyFont="1" applyBorder="1" applyAlignment="1" quotePrefix="1">
      <alignment horizontal="right" wrapText="1"/>
    </xf>
    <xf numFmtId="165" fontId="0" fillId="0" borderId="0" xfId="0" applyNumberFormat="1" applyBorder="1" applyAlignment="1">
      <alignment horizontal="right"/>
    </xf>
    <xf numFmtId="0" fontId="2" fillId="0" borderId="12" xfId="0" applyFont="1" applyBorder="1" applyAlignment="1">
      <alignment horizontal="centerContinuous"/>
    </xf>
    <xf numFmtId="0" fontId="2" fillId="0" borderId="13" xfId="0" applyFont="1" applyBorder="1" applyAlignment="1">
      <alignment horizontal="centerContinuous"/>
    </xf>
    <xf numFmtId="0" fontId="2" fillId="0" borderId="14" xfId="0" applyFont="1" applyBorder="1" applyAlignment="1">
      <alignment horizontal="centerContinuous"/>
    </xf>
    <xf numFmtId="0" fontId="0" fillId="0" borderId="0" xfId="0" applyFill="1" applyBorder="1" applyAlignment="1">
      <alignment/>
    </xf>
    <xf numFmtId="164" fontId="0" fillId="0" borderId="15" xfId="0" applyNumberFormat="1" applyFont="1" applyBorder="1" applyAlignment="1">
      <alignment horizontal="center"/>
    </xf>
    <xf numFmtId="171" fontId="0" fillId="0" borderId="11" xfId="0" applyNumberFormat="1" applyFill="1" applyBorder="1" applyAlignment="1">
      <alignment/>
    </xf>
    <xf numFmtId="171" fontId="0" fillId="0" borderId="11" xfId="0" applyNumberFormat="1" applyFont="1" applyFill="1" applyBorder="1" applyAlignment="1">
      <alignment/>
    </xf>
    <xf numFmtId="164" fontId="0" fillId="0" borderId="16" xfId="0" applyNumberFormat="1" applyFont="1" applyBorder="1" applyAlignment="1">
      <alignment horizontal="center"/>
    </xf>
    <xf numFmtId="0" fontId="0" fillId="0" borderId="1" xfId="0" applyFont="1" applyBorder="1" applyAlignment="1">
      <alignment horizontal="center"/>
    </xf>
    <xf numFmtId="0" fontId="10" fillId="0" borderId="0" xfId="0" applyFont="1" applyBorder="1" applyAlignment="1" quotePrefix="1">
      <alignment horizontal="left"/>
    </xf>
    <xf numFmtId="0" fontId="10" fillId="0" borderId="0" xfId="0" applyFont="1" applyAlignment="1" quotePrefix="1">
      <alignment horizontal="left"/>
    </xf>
    <xf numFmtId="0" fontId="0" fillId="0" borderId="0" xfId="0" applyFont="1" applyBorder="1" applyAlignment="1">
      <alignment horizontal="right" wrapText="1"/>
    </xf>
    <xf numFmtId="0" fontId="0" fillId="0" borderId="0" xfId="0" applyFont="1" applyBorder="1" applyAlignment="1" quotePrefix="1">
      <alignment horizontal="right" wrapText="1"/>
    </xf>
    <xf numFmtId="0" fontId="1" fillId="0" borderId="0" xfId="0" applyFont="1" applyBorder="1" applyAlignment="1">
      <alignment horizontal="right" wrapText="1"/>
    </xf>
    <xf numFmtId="173" fontId="0" fillId="0" borderId="0" xfId="0" applyNumberFormat="1" applyFont="1" applyAlignment="1">
      <alignment/>
    </xf>
    <xf numFmtId="10" fontId="0" fillId="0" borderId="0" xfId="65" applyNumberFormat="1" applyFont="1" applyBorder="1" applyAlignment="1">
      <alignment/>
    </xf>
    <xf numFmtId="0" fontId="0" fillId="0" borderId="0" xfId="0" applyAlignment="1">
      <alignment horizontal="left" indent="1"/>
    </xf>
    <xf numFmtId="165" fontId="0" fillId="0" borderId="0" xfId="0" applyNumberFormat="1" applyAlignment="1">
      <alignment/>
    </xf>
    <xf numFmtId="10" fontId="0" fillId="0" borderId="0" xfId="65" applyNumberFormat="1" applyFont="1" applyAlignment="1">
      <alignment/>
    </xf>
    <xf numFmtId="0" fontId="11" fillId="0" borderId="0" xfId="0" applyFont="1" applyAlignment="1">
      <alignment horizontal="centerContinuous"/>
    </xf>
    <xf numFmtId="3" fontId="0" fillId="0" borderId="0" xfId="0" applyNumberFormat="1" applyFont="1" applyBorder="1" applyAlignment="1" quotePrefix="1">
      <alignment horizontal="right" wrapText="1"/>
    </xf>
    <xf numFmtId="164" fontId="1" fillId="0" borderId="0" xfId="0" applyNumberFormat="1" applyFont="1" applyBorder="1" applyAlignment="1" quotePrefix="1">
      <alignment horizontal="right" wrapText="1"/>
    </xf>
    <xf numFmtId="166" fontId="1" fillId="0" borderId="0" xfId="0" applyNumberFormat="1" applyFont="1" applyBorder="1" applyAlignment="1">
      <alignment horizontal="right" wrapText="1"/>
    </xf>
    <xf numFmtId="167" fontId="0" fillId="0" borderId="0" xfId="0" applyNumberFormat="1" applyFont="1" applyBorder="1" applyAlignment="1" quotePrefix="1">
      <alignment horizontal="right" wrapText="1"/>
    </xf>
    <xf numFmtId="171" fontId="0" fillId="0" borderId="1" xfId="0" applyNumberFormat="1" applyFont="1" applyBorder="1" applyAlignment="1">
      <alignment horizontal="right" wrapText="1"/>
    </xf>
    <xf numFmtId="171" fontId="2" fillId="0" borderId="0" xfId="0" applyNumberFormat="1" applyFont="1" applyBorder="1" applyAlignment="1">
      <alignment horizontal="right" wrapText="1"/>
    </xf>
    <xf numFmtId="165" fontId="0" fillId="0" borderId="1" xfId="0" applyNumberFormat="1" applyFont="1" applyBorder="1" applyAlignment="1">
      <alignment horizontal="right" wrapText="1"/>
    </xf>
    <xf numFmtId="165" fontId="0" fillId="0" borderId="0" xfId="0" applyNumberFormat="1" applyAlignment="1">
      <alignment horizontal="right"/>
    </xf>
    <xf numFmtId="164" fontId="0" fillId="0" borderId="0" xfId="0" applyNumberFormat="1" applyFont="1" applyBorder="1" applyAlignment="1" quotePrefix="1">
      <alignment horizontal="right" wrapText="1"/>
    </xf>
    <xf numFmtId="0" fontId="0" fillId="0" borderId="0" xfId="0" applyFont="1" applyAlignment="1" quotePrefix="1">
      <alignment horizontal="right" wrapText="1"/>
    </xf>
    <xf numFmtId="0" fontId="1" fillId="0" borderId="0" xfId="0" applyFont="1" applyAlignment="1">
      <alignment horizontal="right"/>
    </xf>
    <xf numFmtId="175" fontId="0" fillId="0" borderId="0" xfId="0" applyNumberFormat="1" applyFont="1" applyAlignment="1">
      <alignment horizontal="right"/>
    </xf>
    <xf numFmtId="171" fontId="0" fillId="0" borderId="0" xfId="0" applyNumberFormat="1" applyFont="1" applyFill="1" applyAlignment="1">
      <alignment horizontal="right"/>
    </xf>
    <xf numFmtId="10" fontId="0" fillId="0" borderId="0" xfId="0" applyNumberFormat="1" applyFont="1" applyAlignment="1">
      <alignment horizontal="right"/>
    </xf>
    <xf numFmtId="9" fontId="0" fillId="0" borderId="0" xfId="0" applyNumberFormat="1" applyFont="1" applyAlignment="1">
      <alignment horizontal="right"/>
    </xf>
    <xf numFmtId="0" fontId="1" fillId="0" borderId="0" xfId="0" applyFont="1" applyBorder="1" applyAlignment="1" quotePrefix="1">
      <alignment horizontal="right" wrapText="1"/>
    </xf>
    <xf numFmtId="3" fontId="0" fillId="0" borderId="0" xfId="0" applyNumberFormat="1" applyFont="1" applyBorder="1" applyAlignment="1">
      <alignment/>
    </xf>
    <xf numFmtId="172" fontId="0" fillId="0" borderId="0" xfId="0" applyNumberFormat="1" applyFont="1" applyBorder="1" applyAlignment="1">
      <alignment wrapText="1"/>
    </xf>
    <xf numFmtId="171" fontId="0" fillId="0" borderId="0" xfId="0" applyNumberFormat="1" applyFont="1" applyBorder="1" applyAlignment="1">
      <alignment wrapText="1"/>
    </xf>
    <xf numFmtId="171" fontId="0" fillId="0" borderId="0" xfId="0" applyNumberFormat="1" applyFont="1" applyBorder="1" applyAlignment="1">
      <alignment/>
    </xf>
    <xf numFmtId="0" fontId="0" fillId="0" borderId="0" xfId="0" applyFont="1" applyBorder="1" applyAlignment="1">
      <alignment/>
    </xf>
    <xf numFmtId="168" fontId="0" fillId="0" borderId="0" xfId="0" applyNumberFormat="1" applyFont="1" applyBorder="1" applyAlignment="1" quotePrefix="1">
      <alignment horizontal="right" wrapText="1"/>
    </xf>
    <xf numFmtId="0" fontId="0" fillId="0" borderId="0" xfId="0" applyFont="1" applyFill="1" applyBorder="1" applyAlignment="1" quotePrefix="1">
      <alignment horizontal="right" wrapText="1"/>
    </xf>
    <xf numFmtId="165" fontId="0" fillId="0" borderId="0" xfId="0" applyNumberFormat="1" applyFont="1" applyBorder="1" applyAlignment="1">
      <alignment/>
    </xf>
    <xf numFmtId="175" fontId="0" fillId="0" borderId="0" xfId="0" applyNumberFormat="1" applyFont="1" applyBorder="1" applyAlignment="1">
      <alignment wrapText="1"/>
    </xf>
    <xf numFmtId="165" fontId="0" fillId="0" borderId="0" xfId="0" applyNumberFormat="1" applyFont="1" applyBorder="1" applyAlignment="1">
      <alignment wrapText="1"/>
    </xf>
    <xf numFmtId="164" fontId="0" fillId="0" borderId="0" xfId="0" applyNumberFormat="1" applyFont="1" applyBorder="1" applyAlignment="1">
      <alignment/>
    </xf>
    <xf numFmtId="175" fontId="0" fillId="0" borderId="0" xfId="0" applyNumberFormat="1" applyFont="1" applyBorder="1" applyAlignment="1">
      <alignment/>
    </xf>
    <xf numFmtId="165" fontId="0" fillId="0" borderId="0" xfId="0" applyNumberFormat="1" applyFont="1" applyAlignment="1">
      <alignment horizontal="right"/>
    </xf>
    <xf numFmtId="3" fontId="0" fillId="0" borderId="0" xfId="0" applyNumberFormat="1" applyFont="1" applyFill="1" applyAlignment="1">
      <alignment horizontal="right"/>
    </xf>
    <xf numFmtId="164" fontId="1" fillId="0" borderId="0" xfId="0" applyNumberFormat="1" applyFont="1" applyBorder="1" applyAlignment="1">
      <alignment horizontal="right" wrapText="1"/>
    </xf>
    <xf numFmtId="10" fontId="0" fillId="0" borderId="0" xfId="0" applyNumberFormat="1" applyFont="1" applyFill="1" applyBorder="1" applyAlignment="1" quotePrefix="1">
      <alignment horizontal="right" wrapText="1"/>
    </xf>
    <xf numFmtId="3" fontId="1" fillId="0" borderId="0" xfId="0" applyNumberFormat="1" applyFont="1" applyAlignment="1">
      <alignment horizontal="right"/>
    </xf>
    <xf numFmtId="171" fontId="1" fillId="0" borderId="0" xfId="0" applyNumberFormat="1" applyFont="1" applyBorder="1" applyAlignment="1">
      <alignment horizontal="right" wrapText="1"/>
    </xf>
    <xf numFmtId="164" fontId="0" fillId="0" borderId="0" xfId="0" applyNumberFormat="1" applyFont="1" applyAlignment="1">
      <alignment horizontal="right"/>
    </xf>
    <xf numFmtId="10" fontId="0" fillId="0" borderId="0" xfId="0" applyNumberFormat="1" applyFont="1" applyFill="1" applyAlignment="1">
      <alignment horizontal="right"/>
    </xf>
    <xf numFmtId="165" fontId="1" fillId="0" borderId="0" xfId="0" applyNumberFormat="1" applyFont="1" applyBorder="1" applyAlignment="1">
      <alignment horizontal="right" wrapText="1"/>
    </xf>
    <xf numFmtId="165" fontId="1" fillId="0" borderId="0" xfId="0" applyNumberFormat="1" applyFont="1" applyBorder="1" applyAlignment="1" quotePrefix="1">
      <alignment horizontal="right" wrapText="1"/>
    </xf>
    <xf numFmtId="2" fontId="0" fillId="0" borderId="0" xfId="0" applyNumberFormat="1" applyAlignment="1">
      <alignment horizontal="right"/>
    </xf>
    <xf numFmtId="175" fontId="0" fillId="0" borderId="0" xfId="65" applyNumberFormat="1" applyFont="1" applyAlignment="1">
      <alignment horizontal="right"/>
    </xf>
    <xf numFmtId="2" fontId="0" fillId="0" borderId="0" xfId="0" applyNumberFormat="1" applyFont="1" applyAlignment="1">
      <alignment horizontal="right"/>
    </xf>
    <xf numFmtId="2" fontId="9" fillId="0" borderId="0" xfId="0" applyNumberFormat="1" applyFont="1" applyAlignment="1">
      <alignment horizontal="right"/>
    </xf>
    <xf numFmtId="174" fontId="0" fillId="0" borderId="0" xfId="0" applyNumberFormat="1" applyFont="1" applyAlignment="1">
      <alignment horizontal="center"/>
    </xf>
    <xf numFmtId="171" fontId="0" fillId="0" borderId="0" xfId="0" applyNumberFormat="1" applyFont="1" applyAlignment="1">
      <alignment/>
    </xf>
    <xf numFmtId="165" fontId="0" fillId="0" borderId="0" xfId="0" applyNumberFormat="1" applyFont="1" applyAlignment="1">
      <alignment/>
    </xf>
    <xf numFmtId="2" fontId="0" fillId="0" borderId="0" xfId="0" applyNumberFormat="1" applyFont="1" applyBorder="1" applyAlignment="1">
      <alignment/>
    </xf>
    <xf numFmtId="2" fontId="0" fillId="0" borderId="0" xfId="0" applyNumberFormat="1" applyFont="1" applyAlignment="1">
      <alignment/>
    </xf>
    <xf numFmtId="172" fontId="0" fillId="0" borderId="0" xfId="0" applyNumberFormat="1" applyFont="1" applyAlignment="1">
      <alignment/>
    </xf>
    <xf numFmtId="164" fontId="0" fillId="0" borderId="0" xfId="0" applyNumberFormat="1" applyFont="1" applyAlignment="1">
      <alignment/>
    </xf>
    <xf numFmtId="172" fontId="0" fillId="0" borderId="0" xfId="0" applyNumberFormat="1" applyFont="1" applyBorder="1" applyAlignment="1">
      <alignment/>
    </xf>
    <xf numFmtId="168" fontId="0" fillId="0" borderId="0" xfId="0" applyNumberFormat="1" applyFont="1" applyAlignment="1">
      <alignment/>
    </xf>
    <xf numFmtId="3" fontId="0" fillId="0" borderId="0" xfId="0" applyNumberFormat="1" applyBorder="1" applyAlignment="1">
      <alignment horizontal="center"/>
    </xf>
    <xf numFmtId="0" fontId="0" fillId="0" borderId="0" xfId="0" applyBorder="1" applyAlignment="1" quotePrefix="1">
      <alignment horizontal="right" wrapText="1"/>
    </xf>
    <xf numFmtId="0" fontId="0" fillId="0" borderId="0" xfId="0" applyBorder="1" applyAlignment="1">
      <alignment horizontal="right"/>
    </xf>
    <xf numFmtId="0" fontId="0" fillId="0" borderId="0" xfId="0" applyFill="1" applyBorder="1" applyAlignment="1" quotePrefix="1">
      <alignment horizontal="right" wrapText="1"/>
    </xf>
    <xf numFmtId="3" fontId="0" fillId="0" borderId="0" xfId="0" applyNumberFormat="1" applyBorder="1" applyAlignment="1">
      <alignment horizontal="right"/>
    </xf>
    <xf numFmtId="171" fontId="0" fillId="0" borderId="0" xfId="0" applyNumberFormat="1" applyBorder="1" applyAlignment="1">
      <alignment horizontal="right"/>
    </xf>
    <xf numFmtId="175" fontId="0" fillId="0" borderId="0" xfId="0" applyNumberFormat="1" applyBorder="1" applyAlignment="1">
      <alignment horizontal="right" wrapText="1"/>
    </xf>
    <xf numFmtId="175" fontId="0" fillId="0" borderId="0" xfId="0" applyNumberFormat="1" applyBorder="1" applyAlignment="1">
      <alignment horizontal="right"/>
    </xf>
    <xf numFmtId="10" fontId="1" fillId="0" borderId="0" xfId="0" applyNumberFormat="1" applyFont="1" applyBorder="1" applyAlignment="1" quotePrefix="1">
      <alignment horizontal="right"/>
    </xf>
    <xf numFmtId="10" fontId="0" fillId="0" borderId="0" xfId="0" applyNumberFormat="1" applyFont="1" applyBorder="1" applyAlignment="1">
      <alignment horizontal="right"/>
    </xf>
    <xf numFmtId="0" fontId="0" fillId="0" borderId="17" xfId="0" applyFont="1" applyBorder="1" applyAlignment="1" quotePrefix="1">
      <alignment horizontal="right"/>
    </xf>
    <xf numFmtId="0" fontId="0" fillId="0" borderId="18" xfId="0" applyFont="1" applyBorder="1" applyAlignment="1">
      <alignment horizontal="right"/>
    </xf>
    <xf numFmtId="0" fontId="0" fillId="0" borderId="19" xfId="0" applyFont="1" applyBorder="1" applyAlignment="1">
      <alignment horizontal="right"/>
    </xf>
    <xf numFmtId="164" fontId="0" fillId="0" borderId="16" xfId="0" applyNumberFormat="1" applyFont="1" applyBorder="1" applyAlignment="1">
      <alignment horizontal="right"/>
    </xf>
    <xf numFmtId="164" fontId="0" fillId="0" borderId="15" xfId="0" applyNumberFormat="1" applyFont="1" applyBorder="1" applyAlignment="1" quotePrefix="1">
      <alignment horizontal="right"/>
    </xf>
    <xf numFmtId="174" fontId="0" fillId="0" borderId="0" xfId="0" applyNumberFormat="1" applyAlignment="1">
      <alignment/>
    </xf>
    <xf numFmtId="2" fontId="0" fillId="0" borderId="0" xfId="0" applyNumberFormat="1" applyFont="1" applyBorder="1" applyAlignment="1">
      <alignment horizontal="center"/>
    </xf>
    <xf numFmtId="2" fontId="1" fillId="0" borderId="0" xfId="0" applyNumberFormat="1" applyFont="1" applyAlignment="1">
      <alignment horizontal="right"/>
    </xf>
    <xf numFmtId="2" fontId="9" fillId="0" borderId="0" xfId="0" applyNumberFormat="1" applyFont="1" applyAlignment="1">
      <alignment horizontal="centerContinuous"/>
    </xf>
    <xf numFmtId="2" fontId="0" fillId="0" borderId="0" xfId="0" applyNumberFormat="1" applyAlignment="1">
      <alignment horizontal="centerContinuous"/>
    </xf>
    <xf numFmtId="0" fontId="0" fillId="0" borderId="0" xfId="0" applyAlignment="1" quotePrefix="1">
      <alignment horizontal="left" indent="2"/>
    </xf>
    <xf numFmtId="177" fontId="0" fillId="0" borderId="0" xfId="0" applyNumberFormat="1" applyFill="1" applyAlignment="1">
      <alignment/>
    </xf>
    <xf numFmtId="0" fontId="0" fillId="0" borderId="0" xfId="0" applyFill="1" applyAlignment="1" quotePrefix="1">
      <alignment horizontal="left"/>
    </xf>
    <xf numFmtId="176" fontId="0" fillId="0" borderId="0" xfId="0" applyNumberFormat="1" applyFont="1" applyAlignment="1">
      <alignment horizontal="right"/>
    </xf>
    <xf numFmtId="164" fontId="0" fillId="0" borderId="0" xfId="0" applyNumberFormat="1" applyFont="1" applyFill="1" applyBorder="1" applyAlignment="1">
      <alignment/>
    </xf>
    <xf numFmtId="10" fontId="0" fillId="0" borderId="0" xfId="0" applyNumberFormat="1" applyFont="1" applyFill="1" applyBorder="1" applyAlignment="1">
      <alignment/>
    </xf>
    <xf numFmtId="171" fontId="0" fillId="0" borderId="0" xfId="0" applyNumberFormat="1" applyFont="1" applyFill="1" applyBorder="1" applyAlignment="1">
      <alignment horizontal="center"/>
    </xf>
    <xf numFmtId="0" fontId="0" fillId="0" borderId="20" xfId="0" applyBorder="1" applyAlignment="1">
      <alignment horizontal="center"/>
    </xf>
    <xf numFmtId="0" fontId="0" fillId="0" borderId="18" xfId="0" applyBorder="1" applyAlignment="1">
      <alignment/>
    </xf>
    <xf numFmtId="0" fontId="0" fillId="0" borderId="21" xfId="0" applyBorder="1" applyAlignment="1">
      <alignment horizontal="center"/>
    </xf>
    <xf numFmtId="0" fontId="0" fillId="0" borderId="17" xfId="0" applyBorder="1" applyAlignment="1">
      <alignment horizontal="center"/>
    </xf>
    <xf numFmtId="0" fontId="2" fillId="0" borderId="15" xfId="0" applyFont="1" applyFill="1" applyBorder="1" applyAlignment="1">
      <alignment/>
    </xf>
    <xf numFmtId="164" fontId="2" fillId="0" borderId="11" xfId="0" applyNumberFormat="1" applyFont="1" applyFill="1" applyBorder="1" applyAlignment="1">
      <alignment horizontal="center"/>
    </xf>
    <xf numFmtId="0" fontId="2" fillId="0" borderId="22" xfId="0" applyFont="1" applyFill="1" applyBorder="1" applyAlignment="1">
      <alignment horizontal="center"/>
    </xf>
    <xf numFmtId="0" fontId="2" fillId="0" borderId="11" xfId="0" applyFont="1" applyFill="1" applyBorder="1" applyAlignment="1">
      <alignment/>
    </xf>
    <xf numFmtId="164" fontId="0" fillId="0" borderId="11" xfId="0" applyNumberFormat="1" applyFill="1" applyBorder="1" applyAlignment="1">
      <alignment/>
    </xf>
    <xf numFmtId="164" fontId="0" fillId="0" borderId="11" xfId="0" applyNumberFormat="1" applyFill="1" applyBorder="1" applyAlignment="1">
      <alignment horizontal="center"/>
    </xf>
    <xf numFmtId="0" fontId="0" fillId="0" borderId="22" xfId="0" applyFill="1" applyBorder="1" applyAlignment="1">
      <alignment/>
    </xf>
    <xf numFmtId="0" fontId="0" fillId="0" borderId="11" xfId="0" applyFill="1" applyBorder="1" applyAlignment="1">
      <alignment/>
    </xf>
    <xf numFmtId="0" fontId="2" fillId="0" borderId="21" xfId="0" applyFont="1" applyFill="1" applyBorder="1" applyAlignment="1">
      <alignment/>
    </xf>
    <xf numFmtId="9" fontId="0" fillId="0" borderId="11" xfId="0" applyNumberFormat="1" applyFill="1" applyBorder="1" applyAlignment="1">
      <alignment horizontal="center"/>
    </xf>
    <xf numFmtId="171" fontId="0" fillId="0" borderId="22" xfId="0" applyNumberFormat="1" applyFill="1" applyBorder="1" applyAlignment="1">
      <alignment/>
    </xf>
    <xf numFmtId="0" fontId="0" fillId="0" borderId="11" xfId="0" applyFont="1" applyFill="1" applyBorder="1" applyAlignment="1">
      <alignment/>
    </xf>
    <xf numFmtId="172" fontId="0" fillId="0" borderId="22" xfId="0" applyNumberFormat="1" applyFill="1" applyBorder="1" applyAlignment="1">
      <alignment/>
    </xf>
    <xf numFmtId="10" fontId="0" fillId="0" borderId="11" xfId="0" applyNumberFormat="1" applyFill="1" applyBorder="1" applyAlignment="1">
      <alignment horizontal="center"/>
    </xf>
    <xf numFmtId="171" fontId="0" fillId="0" borderId="22" xfId="0" applyNumberFormat="1" applyFont="1" applyFill="1" applyBorder="1" applyAlignment="1">
      <alignment/>
    </xf>
    <xf numFmtId="0" fontId="2" fillId="0" borderId="16" xfId="0" applyFont="1" applyFill="1" applyBorder="1" applyAlignment="1">
      <alignment/>
    </xf>
    <xf numFmtId="171" fontId="0" fillId="0" borderId="16" xfId="0" applyNumberFormat="1" applyFill="1" applyBorder="1" applyAlignment="1">
      <alignment/>
    </xf>
    <xf numFmtId="164" fontId="0" fillId="0" borderId="16" xfId="0" applyNumberFormat="1" applyFill="1" applyBorder="1" applyAlignment="1">
      <alignment horizontal="center"/>
    </xf>
    <xf numFmtId="171" fontId="2" fillId="0" borderId="16" xfId="0" applyNumberFormat="1" applyFont="1" applyFill="1" applyBorder="1" applyAlignment="1">
      <alignment/>
    </xf>
    <xf numFmtId="0" fontId="0" fillId="0" borderId="15" xfId="0" applyFill="1" applyBorder="1" applyAlignment="1">
      <alignment horizontal="center"/>
    </xf>
    <xf numFmtId="0" fontId="0" fillId="0" borderId="15" xfId="0" applyFill="1" applyBorder="1" applyAlignment="1">
      <alignment/>
    </xf>
    <xf numFmtId="171" fontId="0" fillId="0" borderId="15" xfId="0" applyNumberFormat="1" applyFill="1" applyBorder="1" applyAlignment="1">
      <alignment/>
    </xf>
    <xf numFmtId="9" fontId="0" fillId="0" borderId="11" xfId="0" applyNumberFormat="1" applyFill="1" applyBorder="1" applyAlignment="1">
      <alignment/>
    </xf>
    <xf numFmtId="0" fontId="0" fillId="0" borderId="16" xfId="0" applyFill="1" applyBorder="1" applyAlignment="1">
      <alignment/>
    </xf>
    <xf numFmtId="9" fontId="0" fillId="0" borderId="16" xfId="0" applyNumberFormat="1" applyFill="1" applyBorder="1" applyAlignment="1">
      <alignment/>
    </xf>
    <xf numFmtId="171" fontId="0" fillId="0" borderId="0" xfId="0" applyNumberFormat="1" applyFill="1" applyBorder="1" applyAlignment="1">
      <alignment/>
    </xf>
    <xf numFmtId="9" fontId="0" fillId="0" borderId="0" xfId="0" applyNumberFormat="1" applyFill="1" applyBorder="1" applyAlignment="1">
      <alignment/>
    </xf>
    <xf numFmtId="9" fontId="0" fillId="0" borderId="15" xfId="0" applyNumberFormat="1" applyFont="1" applyFill="1" applyBorder="1" applyAlignment="1">
      <alignment horizontal="center"/>
    </xf>
    <xf numFmtId="171" fontId="0" fillId="0" borderId="15" xfId="0" applyNumberFormat="1" applyFont="1" applyFill="1" applyBorder="1" applyAlignment="1" quotePrefix="1">
      <alignment horizontal="right"/>
    </xf>
    <xf numFmtId="9" fontId="0" fillId="0" borderId="16" xfId="0" applyNumberFormat="1" applyFont="1" applyFill="1" applyBorder="1" applyAlignment="1">
      <alignment horizontal="center"/>
    </xf>
    <xf numFmtId="2" fontId="0" fillId="0" borderId="11" xfId="0" applyNumberFormat="1" applyFill="1" applyBorder="1" applyAlignment="1">
      <alignment/>
    </xf>
    <xf numFmtId="10" fontId="0" fillId="0" borderId="16" xfId="0" applyNumberFormat="1" applyFill="1" applyBorder="1" applyAlignment="1">
      <alignment/>
    </xf>
    <xf numFmtId="3" fontId="0" fillId="0" borderId="1" xfId="0" applyNumberFormat="1" applyFont="1" applyBorder="1" applyAlignment="1">
      <alignment/>
    </xf>
    <xf numFmtId="0" fontId="0" fillId="0" borderId="1" xfId="0" applyBorder="1" applyAlignment="1">
      <alignment/>
    </xf>
    <xf numFmtId="0" fontId="0" fillId="0" borderId="0" xfId="0" applyFill="1" applyAlignment="1">
      <alignment horizontal="left"/>
    </xf>
    <xf numFmtId="3" fontId="0" fillId="0" borderId="0" xfId="0" applyNumberFormat="1" applyFont="1" applyBorder="1" applyAlignment="1" quotePrefix="1">
      <alignment horizontal="left"/>
    </xf>
    <xf numFmtId="171" fontId="0" fillId="0" borderId="0" xfId="0" applyNumberFormat="1" applyFont="1" applyBorder="1" applyAlignment="1" quotePrefix="1">
      <alignment horizontal="left"/>
    </xf>
    <xf numFmtId="0" fontId="1" fillId="0" borderId="0" xfId="0" applyFont="1" applyAlignment="1" quotePrefix="1">
      <alignment horizontal="right"/>
    </xf>
    <xf numFmtId="10" fontId="0" fillId="0" borderId="0" xfId="0" applyNumberFormat="1" applyFont="1" applyAlignment="1" quotePrefix="1">
      <alignment horizontal="left"/>
    </xf>
    <xf numFmtId="164" fontId="0" fillId="0" borderId="1" xfId="0" applyNumberFormat="1" applyFont="1" applyBorder="1" applyAlignment="1">
      <alignment horizontal="right"/>
    </xf>
    <xf numFmtId="168" fontId="0" fillId="0" borderId="1" xfId="0" applyNumberFormat="1" applyFont="1" applyBorder="1" applyAlignment="1">
      <alignment/>
    </xf>
    <xf numFmtId="165" fontId="0" fillId="0" borderId="1" xfId="0" applyNumberFormat="1" applyFont="1" applyBorder="1" applyAlignment="1">
      <alignment/>
    </xf>
    <xf numFmtId="3" fontId="0" fillId="0" borderId="0" xfId="0" applyNumberFormat="1" applyAlignment="1" quotePrefix="1">
      <alignment horizontal="left"/>
    </xf>
    <xf numFmtId="164" fontId="0" fillId="0" borderId="1" xfId="0" applyNumberFormat="1" applyFont="1" applyBorder="1" applyAlignment="1">
      <alignment/>
    </xf>
    <xf numFmtId="2" fontId="0" fillId="0" borderId="0" xfId="0" applyNumberFormat="1" applyAlignment="1" quotePrefix="1">
      <alignment horizontal="left"/>
    </xf>
    <xf numFmtId="168" fontId="0" fillId="0" borderId="1" xfId="0" applyNumberFormat="1" applyFont="1" applyFill="1" applyBorder="1" applyAlignment="1" quotePrefix="1">
      <alignment horizontal="right"/>
    </xf>
    <xf numFmtId="176" fontId="0" fillId="0" borderId="1" xfId="0" applyNumberFormat="1" applyFont="1" applyFill="1" applyBorder="1" applyAlignment="1">
      <alignment/>
    </xf>
    <xf numFmtId="172" fontId="0" fillId="0" borderId="1" xfId="0" applyNumberFormat="1" applyFont="1" applyBorder="1" applyAlignment="1">
      <alignment/>
    </xf>
    <xf numFmtId="2" fontId="0" fillId="0" borderId="1" xfId="0" applyNumberFormat="1" applyFont="1" applyBorder="1" applyAlignment="1">
      <alignment/>
    </xf>
    <xf numFmtId="3" fontId="0" fillId="0" borderId="0" xfId="0" applyNumberFormat="1" applyBorder="1" applyAlignment="1" quotePrefix="1">
      <alignment horizontal="left"/>
    </xf>
    <xf numFmtId="172" fontId="0" fillId="0" borderId="0" xfId="0" applyNumberFormat="1" applyBorder="1" applyAlignment="1" quotePrefix="1">
      <alignment horizontal="left"/>
    </xf>
    <xf numFmtId="0" fontId="1" fillId="0" borderId="0" xfId="0" applyFont="1" applyBorder="1" applyAlignment="1" quotePrefix="1">
      <alignment horizontal="right"/>
    </xf>
    <xf numFmtId="0" fontId="0" fillId="0" borderId="1" xfId="0" applyFont="1" applyFill="1" applyBorder="1" applyAlignment="1">
      <alignment/>
    </xf>
    <xf numFmtId="2" fontId="0" fillId="0" borderId="0" xfId="0" applyNumberFormat="1" applyFont="1" applyBorder="1" applyAlignment="1" quotePrefix="1">
      <alignment horizontal="left"/>
    </xf>
    <xf numFmtId="3" fontId="0" fillId="0" borderId="0" xfId="0" applyNumberFormat="1" applyFont="1" applyAlignment="1" quotePrefix="1">
      <alignment horizontal="left"/>
    </xf>
    <xf numFmtId="10" fontId="0" fillId="0" borderId="0" xfId="65" applyNumberFormat="1" applyFont="1" applyBorder="1" applyAlignment="1" quotePrefix="1">
      <alignment horizontal="left"/>
    </xf>
    <xf numFmtId="171" fontId="0" fillId="0" borderId="0" xfId="0" applyNumberFormat="1" applyAlignment="1" quotePrefix="1">
      <alignment horizontal="left"/>
    </xf>
    <xf numFmtId="0" fontId="10" fillId="0" borderId="0" xfId="0" applyFont="1" applyBorder="1" applyAlignment="1" quotePrefix="1">
      <alignment horizontal="left" indent="8"/>
    </xf>
    <xf numFmtId="164" fontId="0" fillId="0" borderId="18" xfId="0" applyNumberFormat="1" applyFont="1" applyBorder="1" applyAlignment="1">
      <alignment horizontal="center"/>
    </xf>
    <xf numFmtId="164" fontId="0" fillId="0" borderId="19" xfId="0" applyNumberFormat="1" applyFont="1" applyBorder="1" applyAlignment="1">
      <alignment horizontal="center"/>
    </xf>
    <xf numFmtId="164" fontId="2" fillId="0" borderId="22" xfId="0" applyNumberFormat="1" applyFont="1" applyFill="1" applyBorder="1" applyAlignment="1">
      <alignment horizontal="center"/>
    </xf>
    <xf numFmtId="164" fontId="0" fillId="0" borderId="22" xfId="0" applyNumberFormat="1" applyFill="1" applyBorder="1" applyAlignment="1">
      <alignment horizontal="center"/>
    </xf>
    <xf numFmtId="164" fontId="0" fillId="0" borderId="22" xfId="0" applyNumberFormat="1" applyFill="1" applyBorder="1" applyAlignment="1" quotePrefix="1">
      <alignment horizontal="center"/>
    </xf>
    <xf numFmtId="9" fontId="0" fillId="0" borderId="22" xfId="0" applyNumberFormat="1" applyFill="1" applyBorder="1" applyAlignment="1">
      <alignment horizontal="center"/>
    </xf>
    <xf numFmtId="10" fontId="0" fillId="0" borderId="22" xfId="0" applyNumberFormat="1" applyFill="1" applyBorder="1" applyAlignment="1">
      <alignment horizontal="center"/>
    </xf>
    <xf numFmtId="171" fontId="0" fillId="0" borderId="11" xfId="0" applyNumberFormat="1" applyFill="1" applyBorder="1" applyAlignment="1" quotePrefix="1">
      <alignment horizontal="left"/>
    </xf>
    <xf numFmtId="9" fontId="0" fillId="0" borderId="22" xfId="0" applyNumberFormat="1" applyFill="1" applyBorder="1" applyAlignment="1" quotePrefix="1">
      <alignment horizontal="left"/>
    </xf>
    <xf numFmtId="0" fontId="0" fillId="0" borderId="1" xfId="0" applyFill="1" applyBorder="1" applyAlignment="1">
      <alignment/>
    </xf>
    <xf numFmtId="164" fontId="0" fillId="0" borderId="1" xfId="0" applyNumberFormat="1" applyFill="1" applyBorder="1" applyAlignment="1">
      <alignment/>
    </xf>
    <xf numFmtId="0" fontId="0" fillId="0" borderId="1" xfId="0" applyFont="1" applyBorder="1" applyAlignment="1" quotePrefix="1">
      <alignment horizontal="right"/>
    </xf>
    <xf numFmtId="0" fontId="2" fillId="0" borderId="0" xfId="0" applyFont="1" applyAlignment="1">
      <alignment/>
    </xf>
    <xf numFmtId="0" fontId="0" fillId="0" borderId="11" xfId="0" applyFill="1" applyBorder="1" applyAlignment="1" quotePrefix="1">
      <alignment horizontal="left"/>
    </xf>
    <xf numFmtId="0" fontId="0" fillId="0" borderId="15" xfId="0" applyFill="1" applyBorder="1" applyAlignment="1" quotePrefix="1">
      <alignment horizontal="left"/>
    </xf>
    <xf numFmtId="0" fontId="2" fillId="0" borderId="0" xfId="0" applyFont="1" applyAlignment="1" quotePrefix="1">
      <alignment horizontal="right" vertical="center"/>
    </xf>
    <xf numFmtId="3" fontId="0" fillId="0" borderId="0" xfId="0" applyNumberFormat="1" applyBorder="1" applyAlignment="1">
      <alignment/>
    </xf>
    <xf numFmtId="0" fontId="0" fillId="0" borderId="1" xfId="0" applyBorder="1" applyAlignment="1" quotePrefix="1">
      <alignment horizontal="left"/>
    </xf>
    <xf numFmtId="165" fontId="0" fillId="0" borderId="1" xfId="0" applyNumberFormat="1" applyBorder="1" applyAlignment="1">
      <alignment/>
    </xf>
    <xf numFmtId="0" fontId="0" fillId="0" borderId="0" xfId="0" applyBorder="1" applyAlignment="1" quotePrefix="1">
      <alignment horizontal="left"/>
    </xf>
    <xf numFmtId="177" fontId="0" fillId="0" borderId="0" xfId="0" applyNumberFormat="1" applyAlignment="1">
      <alignment/>
    </xf>
    <xf numFmtId="180" fontId="0" fillId="33" borderId="22" xfId="0" applyNumberFormat="1" applyFill="1" applyBorder="1" applyAlignment="1">
      <alignment/>
    </xf>
    <xf numFmtId="180" fontId="0" fillId="33" borderId="19" xfId="0" applyNumberFormat="1" applyFill="1" applyBorder="1" applyAlignment="1">
      <alignment/>
    </xf>
    <xf numFmtId="0" fontId="2" fillId="0" borderId="0" xfId="0" applyFont="1" applyFill="1" applyBorder="1" applyAlignment="1">
      <alignment horizontal="right"/>
    </xf>
    <xf numFmtId="0" fontId="2" fillId="0" borderId="0" xfId="0" applyFont="1" applyAlignment="1">
      <alignment horizontal="right"/>
    </xf>
    <xf numFmtId="0" fontId="2" fillId="0" borderId="0" xfId="0" applyFont="1" applyFill="1" applyAlignment="1" quotePrefix="1">
      <alignment horizontal="left"/>
    </xf>
    <xf numFmtId="0" fontId="0" fillId="0" borderId="0" xfId="0" applyFont="1" applyBorder="1" applyAlignment="1" quotePrefix="1">
      <alignment horizontal="right"/>
    </xf>
    <xf numFmtId="4" fontId="0" fillId="0" borderId="0" xfId="65" applyNumberFormat="1" applyFont="1" applyBorder="1" applyAlignment="1" quotePrefix="1">
      <alignment/>
    </xf>
    <xf numFmtId="10" fontId="0" fillId="0" borderId="0" xfId="0" applyNumberFormat="1" applyFill="1" applyAlignment="1">
      <alignment/>
    </xf>
    <xf numFmtId="0" fontId="0" fillId="0" borderId="0" xfId="0" applyFont="1" applyAlignment="1">
      <alignment horizontal="left" indent="5"/>
    </xf>
    <xf numFmtId="0" fontId="0" fillId="0" borderId="0" xfId="0" applyFont="1" applyAlignment="1" quotePrefix="1">
      <alignment horizontal="left" indent="5"/>
    </xf>
    <xf numFmtId="168" fontId="0" fillId="33" borderId="0" xfId="0" applyNumberFormat="1" applyFont="1" applyFill="1" applyAlignment="1">
      <alignment/>
    </xf>
    <xf numFmtId="175" fontId="0" fillId="0" borderId="0" xfId="0" applyNumberFormat="1" applyFill="1" applyAlignment="1">
      <alignment/>
    </xf>
    <xf numFmtId="0" fontId="0" fillId="0" borderId="0" xfId="0" applyFill="1" applyBorder="1" applyAlignment="1">
      <alignment horizontal="left" indent="3"/>
    </xf>
    <xf numFmtId="0" fontId="0" fillId="0" borderId="0" xfId="0" applyFont="1" applyFill="1" applyAlignment="1">
      <alignment horizontal="right"/>
    </xf>
    <xf numFmtId="0" fontId="0" fillId="0" borderId="0" xfId="0" applyFont="1" applyAlignment="1" quotePrefix="1">
      <alignment horizontal="left" indent="4"/>
    </xf>
    <xf numFmtId="0" fontId="0" fillId="0" borderId="0" xfId="0" applyFont="1" applyAlignment="1">
      <alignment horizontal="left" indent="4"/>
    </xf>
    <xf numFmtId="14" fontId="0" fillId="0" borderId="0" xfId="0" applyNumberFormat="1" applyFill="1" applyAlignment="1">
      <alignment/>
    </xf>
    <xf numFmtId="177" fontId="0" fillId="33" borderId="0" xfId="0" applyNumberFormat="1" applyFont="1" applyFill="1" applyAlignment="1" quotePrefix="1">
      <alignment horizontal="right"/>
    </xf>
    <xf numFmtId="0" fontId="0" fillId="0" borderId="0" xfId="0" applyFont="1" applyFill="1" applyAlignment="1" quotePrefix="1">
      <alignment horizontal="right"/>
    </xf>
    <xf numFmtId="164" fontId="0" fillId="0" borderId="0" xfId="0" applyNumberFormat="1" applyFont="1" applyFill="1" applyAlignment="1">
      <alignment/>
    </xf>
    <xf numFmtId="176" fontId="0" fillId="0" borderId="0" xfId="0" applyNumberFormat="1" applyFont="1" applyFill="1" applyAlignment="1">
      <alignment/>
    </xf>
    <xf numFmtId="177" fontId="0" fillId="0" borderId="0" xfId="0" applyNumberFormat="1" applyFont="1" applyFill="1" applyAlignment="1" quotePrefix="1">
      <alignment horizontal="right"/>
    </xf>
    <xf numFmtId="177" fontId="0" fillId="0" borderId="1" xfId="0" applyNumberFormat="1" applyFont="1" applyFill="1" applyBorder="1" applyAlignment="1" quotePrefix="1">
      <alignment horizontal="right"/>
    </xf>
    <xf numFmtId="177" fontId="0" fillId="0" borderId="0" xfId="0" applyNumberFormat="1" applyFont="1" applyFill="1" applyAlignment="1">
      <alignment/>
    </xf>
    <xf numFmtId="0" fontId="0" fillId="0" borderId="0" xfId="0" applyAlignment="1">
      <alignment horizontal="left" indent="2"/>
    </xf>
    <xf numFmtId="171" fontId="2" fillId="0" borderId="0" xfId="0" applyNumberFormat="1" applyFont="1" applyAlignment="1">
      <alignment/>
    </xf>
    <xf numFmtId="176" fontId="0" fillId="0" borderId="0" xfId="0" applyNumberFormat="1" applyBorder="1" applyAlignment="1">
      <alignment horizontal="right"/>
    </xf>
    <xf numFmtId="3" fontId="2" fillId="0" borderId="0" xfId="0" applyNumberFormat="1" applyFont="1" applyAlignment="1">
      <alignment/>
    </xf>
    <xf numFmtId="175" fontId="0" fillId="0" borderId="0" xfId="65" applyNumberFormat="1" applyFont="1" applyAlignment="1">
      <alignment/>
    </xf>
    <xf numFmtId="176" fontId="0" fillId="0" borderId="0" xfId="0" applyNumberFormat="1" applyAlignment="1">
      <alignment/>
    </xf>
    <xf numFmtId="165" fontId="0" fillId="0" borderId="0" xfId="0" applyNumberFormat="1" applyFont="1" applyBorder="1" applyAlignment="1">
      <alignment horizontal="left"/>
    </xf>
    <xf numFmtId="0" fontId="0" fillId="0" borderId="20" xfId="0" applyBorder="1" applyAlignment="1" quotePrefix="1">
      <alignment horizontal="right"/>
    </xf>
    <xf numFmtId="0" fontId="0" fillId="0" borderId="23" xfId="0" applyBorder="1" applyAlignment="1">
      <alignment/>
    </xf>
    <xf numFmtId="3" fontId="0" fillId="0" borderId="23" xfId="0" applyNumberFormat="1" applyBorder="1" applyAlignment="1">
      <alignment/>
    </xf>
    <xf numFmtId="0" fontId="0" fillId="0" borderId="21" xfId="0" applyBorder="1" applyAlignment="1">
      <alignment/>
    </xf>
    <xf numFmtId="0" fontId="0" fillId="0" borderId="0" xfId="0" applyBorder="1" applyAlignment="1">
      <alignment horizontal="left"/>
    </xf>
    <xf numFmtId="0" fontId="0" fillId="0" borderId="1" xfId="0" applyBorder="1" applyAlignment="1">
      <alignment horizontal="left"/>
    </xf>
    <xf numFmtId="6" fontId="0" fillId="0" borderId="1" xfId="0" applyNumberFormat="1" applyFill="1" applyBorder="1" applyAlignment="1" quotePrefix="1">
      <alignment horizontal="right"/>
    </xf>
    <xf numFmtId="6" fontId="0" fillId="0" borderId="17" xfId="0" applyNumberFormat="1" applyFill="1" applyBorder="1" applyAlignment="1" quotePrefix="1">
      <alignment horizontal="right"/>
    </xf>
    <xf numFmtId="0" fontId="0" fillId="0" borderId="20" xfId="0" applyBorder="1" applyAlignment="1">
      <alignment/>
    </xf>
    <xf numFmtId="0" fontId="0" fillId="0" borderId="22" xfId="0" applyBorder="1" applyAlignment="1">
      <alignment/>
    </xf>
    <xf numFmtId="0" fontId="0" fillId="0" borderId="19" xfId="0" applyBorder="1" applyAlignment="1">
      <alignment/>
    </xf>
    <xf numFmtId="0" fontId="0" fillId="0" borderId="20" xfId="0" applyBorder="1" applyAlignment="1">
      <alignment horizontal="right"/>
    </xf>
    <xf numFmtId="0" fontId="0" fillId="0" borderId="18" xfId="0" applyBorder="1" applyAlignment="1">
      <alignment horizontal="right"/>
    </xf>
    <xf numFmtId="0" fontId="10" fillId="0" borderId="24" xfId="0" applyFont="1" applyBorder="1" applyAlignment="1" quotePrefix="1">
      <alignment horizontal="left"/>
    </xf>
    <xf numFmtId="0" fontId="2" fillId="0" borderId="25" xfId="0" applyFont="1"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2" fillId="0" borderId="28" xfId="0" applyFont="1" applyBorder="1" applyAlignment="1" quotePrefix="1">
      <alignment horizontal="left"/>
    </xf>
    <xf numFmtId="0" fontId="0" fillId="0" borderId="29" xfId="0" applyBorder="1" applyAlignment="1">
      <alignment/>
    </xf>
    <xf numFmtId="0" fontId="0" fillId="0" borderId="28" xfId="0" applyBorder="1" applyAlignment="1">
      <alignment horizontal="left"/>
    </xf>
    <xf numFmtId="0" fontId="0" fillId="0" borderId="28" xfId="0" applyBorder="1" applyAlignment="1">
      <alignment/>
    </xf>
    <xf numFmtId="0" fontId="0" fillId="0" borderId="28" xfId="0" applyBorder="1" applyAlignment="1" quotePrefix="1">
      <alignment horizontal="left"/>
    </xf>
    <xf numFmtId="0" fontId="0" fillId="0" borderId="29" xfId="0" applyBorder="1" applyAlignment="1" quotePrefix="1">
      <alignment horizontal="left"/>
    </xf>
    <xf numFmtId="0" fontId="0" fillId="0" borderId="30" xfId="0" applyBorder="1" applyAlignment="1">
      <alignment/>
    </xf>
    <xf numFmtId="0" fontId="0" fillId="0" borderId="31" xfId="0" applyBorder="1" applyAlignment="1">
      <alignment/>
    </xf>
    <xf numFmtId="0" fontId="2" fillId="0" borderId="29" xfId="0" applyFont="1" applyBorder="1" applyAlignment="1" quotePrefix="1">
      <alignment horizontal="left"/>
    </xf>
    <xf numFmtId="0" fontId="0" fillId="0" borderId="32" xfId="0" applyBorder="1" applyAlignment="1">
      <alignment/>
    </xf>
    <xf numFmtId="0" fontId="0" fillId="0" borderId="28" xfId="0" applyBorder="1" applyAlignment="1">
      <alignment horizontal="left" indent="4"/>
    </xf>
    <xf numFmtId="0" fontId="0" fillId="0" borderId="29" xfId="0" applyBorder="1" applyAlignment="1">
      <alignment horizontal="left" indent="4"/>
    </xf>
    <xf numFmtId="0" fontId="0" fillId="0" borderId="33" xfId="0" applyBorder="1" applyAlignment="1">
      <alignment/>
    </xf>
    <xf numFmtId="0" fontId="2" fillId="0" borderId="31" xfId="0" applyFont="1" applyBorder="1" applyAlignment="1">
      <alignment horizontal="right"/>
    </xf>
    <xf numFmtId="0" fontId="0" fillId="0" borderId="23" xfId="0" applyBorder="1" applyAlignment="1">
      <alignment horizontal="right"/>
    </xf>
    <xf numFmtId="3" fontId="2" fillId="0" borderId="0" xfId="0" applyNumberFormat="1" applyFont="1" applyBorder="1" applyAlignment="1">
      <alignment/>
    </xf>
    <xf numFmtId="0" fontId="0" fillId="0" borderId="19" xfId="0" applyFill="1" applyBorder="1" applyAlignment="1">
      <alignment horizontal="right"/>
    </xf>
    <xf numFmtId="0" fontId="0" fillId="0" borderId="13" xfId="0" applyBorder="1" applyAlignment="1">
      <alignment horizontal="centerContinuous"/>
    </xf>
    <xf numFmtId="0" fontId="0" fillId="0" borderId="14" xfId="0" applyBorder="1" applyAlignment="1">
      <alignment horizontal="centerContinuous"/>
    </xf>
    <xf numFmtId="0" fontId="0" fillId="0" borderId="34" xfId="0" applyBorder="1" applyAlignment="1">
      <alignment horizontal="centerContinuous"/>
    </xf>
    <xf numFmtId="0" fontId="0" fillId="0" borderId="33" xfId="0" applyBorder="1" applyAlignment="1">
      <alignment horizontal="right"/>
    </xf>
    <xf numFmtId="0" fontId="0" fillId="0" borderId="32" xfId="0" applyFill="1" applyBorder="1" applyAlignment="1">
      <alignment horizontal="right"/>
    </xf>
    <xf numFmtId="171" fontId="2" fillId="0" borderId="35" xfId="0" applyNumberFormat="1" applyFont="1" applyBorder="1" applyAlignment="1">
      <alignment horizontal="right" wrapText="1"/>
    </xf>
    <xf numFmtId="171" fontId="2" fillId="0" borderId="36" xfId="0" applyNumberFormat="1" applyFont="1" applyBorder="1" applyAlignment="1">
      <alignment horizontal="right" wrapText="1"/>
    </xf>
    <xf numFmtId="0" fontId="2" fillId="0" borderId="25" xfId="0" applyFont="1" applyBorder="1" applyAlignment="1">
      <alignment horizontal="right"/>
    </xf>
    <xf numFmtId="165" fontId="0" fillId="0" borderId="20" xfId="0" applyNumberFormat="1" applyBorder="1" applyAlignment="1">
      <alignment/>
    </xf>
    <xf numFmtId="165" fontId="0" fillId="0" borderId="21" xfId="0" applyNumberFormat="1" applyBorder="1" applyAlignment="1">
      <alignment/>
    </xf>
    <xf numFmtId="165" fontId="0" fillId="0" borderId="17" xfId="0" applyNumberFormat="1" applyBorder="1" applyAlignment="1">
      <alignment/>
    </xf>
    <xf numFmtId="0" fontId="0" fillId="0" borderId="37" xfId="0" applyBorder="1" applyAlignment="1">
      <alignment/>
    </xf>
    <xf numFmtId="164" fontId="0" fillId="0" borderId="0" xfId="0" applyNumberFormat="1" applyFont="1" applyBorder="1" applyAlignment="1" quotePrefix="1">
      <alignment horizontal="left"/>
    </xf>
    <xf numFmtId="0" fontId="0" fillId="0" borderId="0" xfId="0" applyFont="1" applyFill="1" applyBorder="1" applyAlignment="1" quotePrefix="1">
      <alignment horizontal="right"/>
    </xf>
    <xf numFmtId="165" fontId="0" fillId="0" borderId="21" xfId="0" applyNumberFormat="1" applyFont="1" applyBorder="1" applyAlignment="1">
      <alignment/>
    </xf>
    <xf numFmtId="3" fontId="0" fillId="0" borderId="38" xfId="0" applyNumberFormat="1" applyFont="1" applyBorder="1" applyAlignment="1">
      <alignment/>
    </xf>
    <xf numFmtId="165" fontId="0" fillId="0" borderId="39" xfId="0" applyNumberFormat="1" applyFont="1" applyBorder="1" applyAlignment="1">
      <alignment/>
    </xf>
    <xf numFmtId="165" fontId="0" fillId="0" borderId="17" xfId="0" applyNumberFormat="1" applyFont="1" applyBorder="1" applyAlignment="1">
      <alignment/>
    </xf>
    <xf numFmtId="171" fontId="2" fillId="0" borderId="0" xfId="0" applyNumberFormat="1" applyFont="1" applyAlignment="1">
      <alignment horizontal="right"/>
    </xf>
    <xf numFmtId="177" fontId="0" fillId="33" borderId="0" xfId="0" applyNumberFormat="1" applyFont="1" applyFill="1" applyAlignment="1">
      <alignment horizontal="right"/>
    </xf>
    <xf numFmtId="0" fontId="0" fillId="0" borderId="11" xfId="0" applyFill="1" applyBorder="1" applyAlignment="1">
      <alignment horizontal="left" indent="3"/>
    </xf>
    <xf numFmtId="0" fontId="0" fillId="0" borderId="21" xfId="0" applyFont="1" applyBorder="1" applyAlignment="1">
      <alignment horizontal="right"/>
    </xf>
    <xf numFmtId="0" fontId="0" fillId="0" borderId="22" xfId="0" applyFont="1" applyBorder="1" applyAlignment="1">
      <alignment horizontal="right"/>
    </xf>
    <xf numFmtId="0" fontId="2" fillId="34" borderId="40" xfId="0" applyFont="1" applyFill="1" applyBorder="1" applyAlignment="1">
      <alignment horizontal="centerContinuous"/>
    </xf>
    <xf numFmtId="0" fontId="2" fillId="34" borderId="41" xfId="0" applyFont="1" applyFill="1" applyBorder="1" applyAlignment="1">
      <alignment horizontal="centerContinuous"/>
    </xf>
    <xf numFmtId="0" fontId="0" fillId="34" borderId="41" xfId="0" applyFill="1" applyBorder="1" applyAlignment="1">
      <alignment horizontal="centerContinuous"/>
    </xf>
    <xf numFmtId="0" fontId="0" fillId="34" borderId="42" xfId="0" applyFill="1" applyBorder="1" applyAlignment="1">
      <alignment horizontal="centerContinuous"/>
    </xf>
    <xf numFmtId="0" fontId="2" fillId="0" borderId="15" xfId="0" applyFont="1" applyFill="1" applyBorder="1" applyAlignment="1" quotePrefix="1">
      <alignment horizontal="left"/>
    </xf>
    <xf numFmtId="0" fontId="2" fillId="0" borderId="11" xfId="0" applyFont="1" applyFill="1" applyBorder="1" applyAlignment="1" quotePrefix="1">
      <alignment horizontal="left"/>
    </xf>
    <xf numFmtId="171" fontId="0" fillId="0" borderId="16" xfId="0" applyNumberFormat="1" applyFont="1" applyFill="1" applyBorder="1" applyAlignment="1" quotePrefix="1">
      <alignment horizontal="right"/>
    </xf>
    <xf numFmtId="0" fontId="0" fillId="0" borderId="28" xfId="0" applyBorder="1" applyAlignment="1" quotePrefix="1">
      <alignment horizontal="left" indent="4"/>
    </xf>
    <xf numFmtId="0" fontId="0" fillId="0" borderId="29" xfId="0" applyBorder="1" applyAlignment="1" quotePrefix="1">
      <alignment horizontal="left" indent="4"/>
    </xf>
    <xf numFmtId="0" fontId="10" fillId="0" borderId="28" xfId="0" applyFont="1" applyBorder="1" applyAlignment="1" quotePrefix="1">
      <alignment horizontal="left"/>
    </xf>
    <xf numFmtId="0" fontId="0" fillId="0" borderId="0" xfId="0" applyFont="1" applyAlignment="1" quotePrefix="1">
      <alignment horizontal="right"/>
    </xf>
    <xf numFmtId="0" fontId="2" fillId="0" borderId="0" xfId="0" applyFont="1" applyBorder="1" applyAlignment="1">
      <alignment/>
    </xf>
    <xf numFmtId="0" fontId="0" fillId="0" borderId="1" xfId="0" applyFill="1" applyBorder="1" applyAlignment="1" quotePrefix="1">
      <alignment horizontal="left"/>
    </xf>
    <xf numFmtId="0" fontId="1" fillId="0" borderId="0" xfId="0" applyFont="1" applyBorder="1" applyAlignment="1">
      <alignment/>
    </xf>
    <xf numFmtId="0" fontId="1" fillId="0" borderId="0" xfId="0" applyFont="1" applyBorder="1" applyAlignment="1" quotePrefix="1">
      <alignment horizontal="left"/>
    </xf>
    <xf numFmtId="0" fontId="0" fillId="0" borderId="0" xfId="0" applyFill="1" applyBorder="1" applyAlignment="1">
      <alignment horizontal="left"/>
    </xf>
    <xf numFmtId="3" fontId="0" fillId="0" borderId="1" xfId="0" applyNumberFormat="1" applyFont="1" applyBorder="1" applyAlignment="1">
      <alignment horizontal="right"/>
    </xf>
    <xf numFmtId="0" fontId="0" fillId="0" borderId="1" xfId="0" applyFont="1" applyBorder="1" applyAlignment="1">
      <alignment horizontal="right"/>
    </xf>
    <xf numFmtId="171" fontId="0" fillId="0" borderId="1" xfId="0" applyNumberFormat="1" applyFont="1" applyBorder="1" applyAlignment="1">
      <alignment horizontal="right"/>
    </xf>
    <xf numFmtId="175" fontId="0" fillId="0" borderId="1" xfId="0" applyNumberFormat="1" applyFont="1" applyFill="1" applyBorder="1" applyAlignment="1">
      <alignment horizontal="right" wrapText="1"/>
    </xf>
    <xf numFmtId="165" fontId="0" fillId="0" borderId="1" xfId="0" applyNumberFormat="1" applyFont="1" applyBorder="1" applyAlignment="1">
      <alignment horizontal="right"/>
    </xf>
    <xf numFmtId="176" fontId="0" fillId="0" borderId="0" xfId="0" applyNumberFormat="1" applyFont="1" applyFill="1" applyBorder="1" applyAlignment="1">
      <alignment/>
    </xf>
    <xf numFmtId="177" fontId="0" fillId="33" borderId="0" xfId="0" applyNumberFormat="1" applyFont="1" applyFill="1" applyBorder="1" applyAlignment="1">
      <alignment/>
    </xf>
    <xf numFmtId="3" fontId="0" fillId="0" borderId="0" xfId="0" applyNumberFormat="1" applyAlignment="1">
      <alignment horizontal="centerContinuous"/>
    </xf>
    <xf numFmtId="185" fontId="0" fillId="0" borderId="0" xfId="0" applyNumberFormat="1" applyFont="1" applyAlignment="1">
      <alignment/>
    </xf>
    <xf numFmtId="0" fontId="10" fillId="0" borderId="0" xfId="0" applyFont="1" applyAlignment="1">
      <alignment horizontal="left"/>
    </xf>
    <xf numFmtId="3" fontId="1" fillId="0" borderId="0" xfId="0" applyNumberFormat="1" applyFont="1" applyBorder="1" applyAlignment="1" quotePrefix="1">
      <alignment wrapText="1"/>
    </xf>
    <xf numFmtId="3" fontId="1" fillId="0" borderId="0" xfId="0" applyNumberFormat="1" applyFont="1" applyBorder="1" applyAlignment="1">
      <alignment wrapText="1"/>
    </xf>
    <xf numFmtId="10" fontId="0" fillId="0" borderId="1" xfId="0" applyNumberFormat="1" applyBorder="1" applyAlignment="1">
      <alignment/>
    </xf>
    <xf numFmtId="0" fontId="0" fillId="0" borderId="0" xfId="0" applyAlignment="1" quotePrefix="1">
      <alignment horizontal="right"/>
    </xf>
    <xf numFmtId="174" fontId="0" fillId="0" borderId="1" xfId="0" applyNumberFormat="1" applyBorder="1" applyAlignment="1">
      <alignment/>
    </xf>
    <xf numFmtId="189" fontId="0" fillId="0" borderId="0" xfId="0" applyNumberFormat="1" applyAlignment="1">
      <alignment/>
    </xf>
    <xf numFmtId="170" fontId="0" fillId="0" borderId="0" xfId="0" applyNumberFormat="1" applyFont="1" applyFill="1" applyBorder="1" applyAlignment="1">
      <alignment horizontal="right" wrapText="1"/>
    </xf>
    <xf numFmtId="0" fontId="0" fillId="0" borderId="1" xfId="0" applyBorder="1" applyAlignment="1">
      <alignment horizontal="right"/>
    </xf>
    <xf numFmtId="167" fontId="0" fillId="0" borderId="0" xfId="0" applyNumberFormat="1" applyFont="1" applyBorder="1" applyAlignment="1">
      <alignment horizontal="right" wrapText="1"/>
    </xf>
    <xf numFmtId="0" fontId="2" fillId="0" borderId="0" xfId="0" applyFont="1" applyAlignment="1" quotePrefix="1">
      <alignment horizontal="left" indent="1"/>
    </xf>
    <xf numFmtId="0" fontId="10" fillId="0" borderId="0" xfId="0" applyFont="1" applyAlignment="1">
      <alignment/>
    </xf>
    <xf numFmtId="164" fontId="0" fillId="0" borderId="0" xfId="0" applyNumberFormat="1" applyFont="1" applyBorder="1" applyAlignment="1" quotePrefix="1">
      <alignment horizontal="left" wrapText="1"/>
    </xf>
    <xf numFmtId="10" fontId="0" fillId="0" borderId="1" xfId="0" applyNumberFormat="1" applyFont="1" applyBorder="1" applyAlignment="1">
      <alignment/>
    </xf>
    <xf numFmtId="10" fontId="0" fillId="0" borderId="0" xfId="0" applyNumberFormat="1" applyFont="1" applyAlignment="1" quotePrefix="1">
      <alignment horizontal="right"/>
    </xf>
    <xf numFmtId="3" fontId="0" fillId="0" borderId="0" xfId="0" applyNumberFormat="1" applyFont="1" applyFill="1" applyAlignment="1">
      <alignment/>
    </xf>
    <xf numFmtId="0" fontId="2" fillId="0" borderId="0" xfId="0" applyFont="1" applyAlignment="1" quotePrefix="1">
      <alignment horizontal="right"/>
    </xf>
    <xf numFmtId="177" fontId="0" fillId="33" borderId="0" xfId="0" applyNumberFormat="1" applyFont="1" applyFill="1" applyBorder="1" applyAlignment="1">
      <alignment horizontal="right" wrapText="1"/>
    </xf>
    <xf numFmtId="177" fontId="0" fillId="0" borderId="0" xfId="0" applyNumberFormat="1" applyFont="1" applyFill="1" applyAlignment="1">
      <alignment horizontal="right"/>
    </xf>
    <xf numFmtId="0" fontId="0" fillId="0" borderId="0" xfId="0" applyFont="1" applyFill="1" applyAlignment="1">
      <alignment horizontal="left"/>
    </xf>
    <xf numFmtId="165" fontId="0" fillId="0" borderId="23" xfId="0" applyNumberFormat="1" applyFont="1" applyBorder="1" applyAlignment="1">
      <alignment horizontal="right" wrapText="1"/>
    </xf>
    <xf numFmtId="171" fontId="0" fillId="0" borderId="23" xfId="0" applyNumberFormat="1" applyFont="1" applyBorder="1" applyAlignment="1">
      <alignment horizontal="right" wrapText="1"/>
    </xf>
    <xf numFmtId="10" fontId="0" fillId="0" borderId="23" xfId="0" applyNumberFormat="1" applyBorder="1" applyAlignment="1">
      <alignment/>
    </xf>
    <xf numFmtId="171" fontId="0" fillId="0" borderId="18" xfId="0" applyNumberFormat="1" applyFont="1" applyBorder="1" applyAlignment="1">
      <alignment horizontal="right" wrapText="1"/>
    </xf>
    <xf numFmtId="0" fontId="0" fillId="0" borderId="17" xfId="0" applyBorder="1" applyAlignment="1">
      <alignment horizontal="right"/>
    </xf>
    <xf numFmtId="171" fontId="0" fillId="0" borderId="19" xfId="0" applyNumberFormat="1" applyFont="1" applyBorder="1" applyAlignment="1">
      <alignment horizontal="right" wrapText="1"/>
    </xf>
    <xf numFmtId="0" fontId="0" fillId="0" borderId="12" xfId="0" applyBorder="1" applyAlignment="1">
      <alignment horizontal="centerContinuous"/>
    </xf>
    <xf numFmtId="0" fontId="0" fillId="0" borderId="17" xfId="0" applyBorder="1" applyAlignment="1" quotePrefix="1">
      <alignment horizontal="right"/>
    </xf>
    <xf numFmtId="0" fontId="0" fillId="0" borderId="19" xfId="0" applyBorder="1" applyAlignment="1">
      <alignment horizontal="right"/>
    </xf>
    <xf numFmtId="0" fontId="0" fillId="0" borderId="21" xfId="0" applyBorder="1" applyAlignment="1">
      <alignment horizontal="right"/>
    </xf>
    <xf numFmtId="0" fontId="0" fillId="0" borderId="22" xfId="0" applyBorder="1" applyAlignment="1">
      <alignment horizontal="right"/>
    </xf>
    <xf numFmtId="0" fontId="0" fillId="0" borderId="11" xfId="0" applyFill="1" applyBorder="1" applyAlignment="1">
      <alignment horizontal="left" indent="5"/>
    </xf>
    <xf numFmtId="0" fontId="0" fillId="0" borderId="17" xfId="0" applyFill="1" applyBorder="1" applyAlignment="1">
      <alignment horizontal="right"/>
    </xf>
    <xf numFmtId="0" fontId="0" fillId="0" borderId="1" xfId="0" applyFill="1" applyBorder="1" applyAlignment="1">
      <alignment horizontal="right"/>
    </xf>
    <xf numFmtId="0" fontId="0" fillId="0" borderId="11" xfId="0" applyBorder="1" applyAlignment="1">
      <alignment/>
    </xf>
    <xf numFmtId="0" fontId="0" fillId="0" borderId="11" xfId="0" applyFill="1" applyBorder="1" applyAlignment="1">
      <alignment horizontal="center"/>
    </xf>
    <xf numFmtId="0" fontId="0" fillId="0" borderId="11" xfId="0" applyFill="1" applyBorder="1" applyAlignment="1" quotePrefix="1">
      <alignment horizontal="left" indent="5"/>
    </xf>
    <xf numFmtId="0" fontId="2" fillId="0" borderId="0" xfId="0" applyFont="1" applyFill="1" applyAlignment="1">
      <alignment horizontal="left"/>
    </xf>
    <xf numFmtId="0" fontId="0" fillId="0" borderId="0" xfId="0" applyFill="1" applyBorder="1" applyAlignment="1" quotePrefix="1">
      <alignment horizontal="left"/>
    </xf>
    <xf numFmtId="165" fontId="0" fillId="0" borderId="0" xfId="0" applyNumberFormat="1" applyFont="1" applyBorder="1" applyAlignment="1" quotePrefix="1">
      <alignment horizontal="right"/>
    </xf>
    <xf numFmtId="165" fontId="0" fillId="0" borderId="0" xfId="0" applyNumberFormat="1" applyFont="1" applyFill="1" applyBorder="1" applyAlignment="1" quotePrefix="1">
      <alignment horizontal="right"/>
    </xf>
    <xf numFmtId="177" fontId="0" fillId="0" borderId="0" xfId="0" applyNumberFormat="1" applyFill="1" applyBorder="1" applyAlignment="1">
      <alignment/>
    </xf>
    <xf numFmtId="165" fontId="0" fillId="0" borderId="0" xfId="0" applyNumberFormat="1" applyFill="1" applyBorder="1" applyAlignment="1">
      <alignment/>
    </xf>
    <xf numFmtId="176" fontId="0" fillId="0" borderId="0" xfId="0" applyNumberFormat="1" applyFill="1" applyAlignment="1">
      <alignment horizontal="right"/>
    </xf>
    <xf numFmtId="0" fontId="0" fillId="0" borderId="0" xfId="0" applyFill="1" applyAlignment="1">
      <alignment horizontal="left" indent="2"/>
    </xf>
    <xf numFmtId="171" fontId="0" fillId="0" borderId="0" xfId="0" applyNumberFormat="1" applyFont="1" applyFill="1" applyBorder="1" applyAlignment="1">
      <alignment horizontal="right" wrapText="1"/>
    </xf>
    <xf numFmtId="165" fontId="0" fillId="0" borderId="0" xfId="0" applyNumberFormat="1" applyFill="1" applyAlignment="1">
      <alignment horizontal="right"/>
    </xf>
    <xf numFmtId="3" fontId="0" fillId="0" borderId="0" xfId="0" applyNumberFormat="1" applyFont="1" applyFill="1" applyBorder="1" applyAlignment="1" quotePrefix="1">
      <alignment horizontal="left"/>
    </xf>
    <xf numFmtId="0" fontId="0" fillId="0" borderId="0" xfId="0" applyFont="1" applyFill="1" applyBorder="1" applyAlignment="1" quotePrefix="1">
      <alignment horizontal="left" indent="2"/>
    </xf>
    <xf numFmtId="3" fontId="0" fillId="0" borderId="0" xfId="0" applyNumberFormat="1" applyFill="1" applyBorder="1" applyAlignment="1">
      <alignment/>
    </xf>
    <xf numFmtId="0" fontId="2" fillId="0" borderId="0" xfId="0" applyFont="1" applyFill="1" applyBorder="1" applyAlignment="1" quotePrefix="1">
      <alignment horizontal="left"/>
    </xf>
    <xf numFmtId="165" fontId="0" fillId="0" borderId="0" xfId="0" applyNumberFormat="1" applyFill="1" applyAlignment="1">
      <alignment/>
    </xf>
    <xf numFmtId="0" fontId="0" fillId="0" borderId="0" xfId="0" applyFill="1" applyBorder="1" applyAlignment="1">
      <alignment horizontal="right"/>
    </xf>
    <xf numFmtId="174" fontId="0" fillId="0" borderId="0" xfId="0" applyNumberFormat="1" applyBorder="1" applyAlignment="1">
      <alignment/>
    </xf>
    <xf numFmtId="0" fontId="0" fillId="0" borderId="0" xfId="0" applyBorder="1" applyAlignment="1">
      <alignment horizontal="left" indent="2"/>
    </xf>
    <xf numFmtId="3" fontId="0" fillId="0" borderId="0" xfId="0" applyNumberFormat="1" applyFont="1" applyAlignment="1">
      <alignment horizontal="center"/>
    </xf>
    <xf numFmtId="0" fontId="0" fillId="0" borderId="0" xfId="0" applyFill="1" applyBorder="1" applyAlignment="1">
      <alignment horizontal="left" indent="2"/>
    </xf>
    <xf numFmtId="171" fontId="0" fillId="0" borderId="0" xfId="0" applyNumberFormat="1" applyFill="1" applyAlignment="1">
      <alignment/>
    </xf>
    <xf numFmtId="0" fontId="0" fillId="0" borderId="0" xfId="0" applyAlignment="1">
      <alignment horizontal="left" indent="4"/>
    </xf>
    <xf numFmtId="0" fontId="0" fillId="0" borderId="0" xfId="0" applyBorder="1" applyAlignment="1">
      <alignment horizontal="left" indent="4"/>
    </xf>
    <xf numFmtId="0" fontId="0" fillId="0" borderId="0" xfId="0" applyFont="1" applyBorder="1" applyAlignment="1" quotePrefix="1">
      <alignment horizontal="left" indent="4"/>
    </xf>
    <xf numFmtId="3" fontId="0" fillId="0" borderId="0" xfId="0" applyNumberFormat="1" applyFill="1" applyAlignment="1">
      <alignment horizontal="right"/>
    </xf>
    <xf numFmtId="3" fontId="2" fillId="0" borderId="0" xfId="0" applyNumberFormat="1" applyFont="1" applyFill="1" applyAlignment="1">
      <alignment/>
    </xf>
    <xf numFmtId="0" fontId="2" fillId="0" borderId="0" xfId="0" applyFont="1" applyFill="1" applyAlignment="1">
      <alignment/>
    </xf>
    <xf numFmtId="171" fontId="2" fillId="0" borderId="0" xfId="0" applyNumberFormat="1" applyFont="1" applyFill="1" applyAlignment="1">
      <alignment/>
    </xf>
    <xf numFmtId="165" fontId="2" fillId="0" borderId="0" xfId="0" applyNumberFormat="1" applyFont="1" applyFill="1" applyAlignment="1">
      <alignment horizontal="right"/>
    </xf>
    <xf numFmtId="176" fontId="2" fillId="0" borderId="0" xfId="0" applyNumberFormat="1" applyFont="1" applyFill="1" applyAlignment="1">
      <alignment/>
    </xf>
    <xf numFmtId="165" fontId="2" fillId="0" borderId="0" xfId="0" applyNumberFormat="1" applyFont="1" applyAlignment="1">
      <alignment horizontal="right"/>
    </xf>
    <xf numFmtId="165" fontId="2" fillId="0" borderId="0" xfId="0" applyNumberFormat="1" applyFont="1" applyFill="1" applyAlignment="1">
      <alignment/>
    </xf>
    <xf numFmtId="0" fontId="2" fillId="0" borderId="0" xfId="0" applyFont="1" applyBorder="1" applyAlignment="1">
      <alignment horizontal="right"/>
    </xf>
    <xf numFmtId="0" fontId="2" fillId="0" borderId="1" xfId="0" applyFont="1" applyBorder="1" applyAlignment="1">
      <alignment horizontal="right"/>
    </xf>
    <xf numFmtId="6" fontId="0" fillId="0" borderId="0" xfId="0" applyNumberFormat="1" applyFill="1" applyBorder="1" applyAlignment="1" quotePrefix="1">
      <alignment horizontal="right"/>
    </xf>
    <xf numFmtId="177" fontId="0" fillId="0" borderId="0" xfId="0" applyNumberFormat="1" applyFont="1" applyFill="1" applyBorder="1" applyAlignment="1">
      <alignment/>
    </xf>
    <xf numFmtId="6" fontId="0" fillId="0" borderId="21" xfId="0" applyNumberFormat="1" applyFill="1" applyBorder="1" applyAlignment="1" quotePrefix="1">
      <alignment horizontal="right"/>
    </xf>
    <xf numFmtId="0" fontId="0" fillId="0" borderId="22" xfId="0" applyFill="1" applyBorder="1" applyAlignment="1">
      <alignment horizontal="right"/>
    </xf>
    <xf numFmtId="171" fontId="0" fillId="0" borderId="22" xfId="0" applyNumberFormat="1" applyFont="1" applyBorder="1" applyAlignment="1">
      <alignment horizontal="right" wrapText="1"/>
    </xf>
    <xf numFmtId="0" fontId="0" fillId="0" borderId="18" xfId="0" applyFont="1" applyBorder="1" applyAlignment="1">
      <alignment/>
    </xf>
    <xf numFmtId="0" fontId="0" fillId="0" borderId="22" xfId="0" applyFont="1" applyBorder="1" applyAlignment="1">
      <alignment/>
    </xf>
    <xf numFmtId="0" fontId="2" fillId="0" borderId="43" xfId="0" applyFont="1" applyBorder="1" applyAlignment="1">
      <alignment horizontal="centerContinuous"/>
    </xf>
    <xf numFmtId="0" fontId="0" fillId="0" borderId="44" xfId="0" applyBorder="1" applyAlignment="1">
      <alignment horizontal="centerContinuous"/>
    </xf>
    <xf numFmtId="0" fontId="0" fillId="0" borderId="45" xfId="0" applyBorder="1" applyAlignment="1">
      <alignment horizontal="centerContinuous"/>
    </xf>
    <xf numFmtId="0" fontId="2" fillId="0" borderId="44" xfId="0" applyFont="1" applyBorder="1" applyAlignment="1">
      <alignment horizontal="centerContinuous"/>
    </xf>
    <xf numFmtId="0" fontId="2" fillId="0" borderId="46" xfId="0" applyFont="1" applyBorder="1" applyAlignment="1">
      <alignment horizontal="centerContinuous"/>
    </xf>
    <xf numFmtId="0" fontId="0" fillId="0" borderId="27" xfId="0" applyFill="1" applyBorder="1" applyAlignment="1">
      <alignment horizontal="right"/>
    </xf>
    <xf numFmtId="171" fontId="2" fillId="0" borderId="32" xfId="0" applyNumberFormat="1" applyFont="1" applyBorder="1" applyAlignment="1">
      <alignment horizontal="right" wrapText="1"/>
    </xf>
    <xf numFmtId="171" fontId="0" fillId="0" borderId="27" xfId="0" applyNumberFormat="1" applyFont="1" applyBorder="1" applyAlignment="1">
      <alignment horizontal="right" wrapText="1"/>
    </xf>
    <xf numFmtId="165" fontId="0" fillId="0" borderId="47" xfId="0" applyNumberFormat="1" applyFont="1" applyBorder="1" applyAlignment="1">
      <alignment/>
    </xf>
    <xf numFmtId="3" fontId="0" fillId="0" borderId="31" xfId="0" applyNumberFormat="1" applyFont="1" applyBorder="1" applyAlignment="1">
      <alignment/>
    </xf>
    <xf numFmtId="171" fontId="0" fillId="0" borderId="48" xfId="0" applyNumberFormat="1" applyFont="1" applyBorder="1" applyAlignment="1">
      <alignment horizontal="right" wrapText="1"/>
    </xf>
    <xf numFmtId="165" fontId="0" fillId="0" borderId="47" xfId="0" applyNumberFormat="1" applyBorder="1" applyAlignment="1">
      <alignment/>
    </xf>
    <xf numFmtId="3" fontId="0" fillId="0" borderId="31" xfId="0" applyNumberFormat="1" applyBorder="1" applyAlignment="1">
      <alignment/>
    </xf>
    <xf numFmtId="171" fontId="2" fillId="0" borderId="49" xfId="0" applyNumberFormat="1" applyFont="1" applyBorder="1" applyAlignment="1">
      <alignment horizontal="right" wrapText="1"/>
    </xf>
    <xf numFmtId="171" fontId="0" fillId="0" borderId="32" xfId="0" applyNumberFormat="1" applyFont="1" applyBorder="1" applyAlignment="1">
      <alignment horizontal="right" wrapText="1"/>
    </xf>
    <xf numFmtId="0" fontId="0" fillId="0" borderId="24" xfId="0" applyFill="1" applyBorder="1" applyAlignment="1">
      <alignment/>
    </xf>
    <xf numFmtId="171" fontId="2" fillId="0" borderId="27" xfId="0" applyNumberFormat="1" applyFont="1" applyBorder="1" applyAlignment="1">
      <alignment horizontal="right" wrapText="1"/>
    </xf>
    <xf numFmtId="0" fontId="0" fillId="0" borderId="28" xfId="0" applyFill="1" applyBorder="1" applyAlignment="1">
      <alignment/>
    </xf>
    <xf numFmtId="0" fontId="0" fillId="0" borderId="40" xfId="0" applyBorder="1" applyAlignment="1">
      <alignment/>
    </xf>
    <xf numFmtId="0" fontId="2" fillId="0" borderId="41" xfId="0" applyFont="1" applyBorder="1" applyAlignment="1" quotePrefix="1">
      <alignment horizontal="right"/>
    </xf>
    <xf numFmtId="165" fontId="0" fillId="0" borderId="41" xfId="0" applyNumberFormat="1" applyFont="1" applyBorder="1" applyAlignment="1">
      <alignment/>
    </xf>
    <xf numFmtId="0" fontId="0" fillId="0" borderId="41" xfId="0" applyBorder="1" applyAlignment="1">
      <alignment/>
    </xf>
    <xf numFmtId="0" fontId="0" fillId="0" borderId="42" xfId="0" applyBorder="1" applyAlignment="1">
      <alignment/>
    </xf>
    <xf numFmtId="0" fontId="1" fillId="0" borderId="0" xfId="0" applyFont="1" applyAlignment="1" quotePrefix="1">
      <alignment horizontal="left"/>
    </xf>
    <xf numFmtId="0" fontId="0" fillId="0" borderId="0" xfId="0" applyAlignment="1" quotePrefix="1">
      <alignment horizontal="left" indent="4"/>
    </xf>
    <xf numFmtId="0" fontId="2" fillId="0" borderId="0" xfId="0" applyFont="1" applyAlignment="1">
      <alignment horizontal="left" indent="4"/>
    </xf>
    <xf numFmtId="0" fontId="0" fillId="0" borderId="0" xfId="0" applyFill="1" applyAlignment="1">
      <alignment horizontal="right"/>
    </xf>
    <xf numFmtId="0" fontId="0" fillId="0" borderId="0" xfId="0" applyFill="1" applyAlignment="1" quotePrefix="1">
      <alignment horizontal="right"/>
    </xf>
    <xf numFmtId="168" fontId="0" fillId="0" borderId="0" xfId="0" applyNumberFormat="1" applyFont="1" applyFill="1" applyAlignment="1" quotePrefix="1">
      <alignment horizontal="right"/>
    </xf>
    <xf numFmtId="168" fontId="0" fillId="0" borderId="0" xfId="0" applyNumberFormat="1" applyFont="1" applyFill="1" applyBorder="1" applyAlignment="1" quotePrefix="1">
      <alignment horizontal="right"/>
    </xf>
    <xf numFmtId="171" fontId="0" fillId="0" borderId="0" xfId="0" applyNumberFormat="1" applyFill="1" applyAlignment="1">
      <alignment horizontal="right"/>
    </xf>
    <xf numFmtId="171" fontId="0" fillId="0" borderId="0" xfId="0" applyNumberFormat="1" applyBorder="1" applyAlignment="1">
      <alignment/>
    </xf>
    <xf numFmtId="171" fontId="2" fillId="0" borderId="0" xfId="0" applyNumberFormat="1" applyFont="1" applyFill="1" applyAlignment="1">
      <alignment horizontal="right"/>
    </xf>
    <xf numFmtId="165" fontId="2" fillId="0" borderId="0" xfId="0" applyNumberFormat="1" applyFont="1" applyBorder="1" applyAlignment="1">
      <alignment/>
    </xf>
    <xf numFmtId="171" fontId="2" fillId="0" borderId="0" xfId="0" applyNumberFormat="1" applyFont="1" applyBorder="1" applyAlignment="1">
      <alignment/>
    </xf>
    <xf numFmtId="0" fontId="0" fillId="0" borderId="0" xfId="0" applyFont="1" applyFill="1" applyBorder="1" applyAlignment="1">
      <alignment horizontal="left"/>
    </xf>
    <xf numFmtId="164" fontId="0" fillId="0" borderId="0" xfId="0" applyNumberFormat="1" applyFont="1" applyFill="1" applyBorder="1" applyAlignment="1" quotePrefix="1">
      <alignment horizontal="left"/>
    </xf>
    <xf numFmtId="175" fontId="0" fillId="0" borderId="11" xfId="0" applyNumberFormat="1" applyFill="1" applyBorder="1" applyAlignment="1">
      <alignment/>
    </xf>
    <xf numFmtId="175" fontId="0" fillId="0" borderId="16" xfId="0" applyNumberFormat="1" applyFill="1" applyBorder="1" applyAlignment="1">
      <alignment/>
    </xf>
    <xf numFmtId="175" fontId="0" fillId="0" borderId="0" xfId="0" applyNumberFormat="1" applyFill="1" applyBorder="1" applyAlignment="1">
      <alignment/>
    </xf>
    <xf numFmtId="175" fontId="0" fillId="0" borderId="15" xfId="0" applyNumberFormat="1" applyFont="1" applyFill="1" applyBorder="1" applyAlignment="1">
      <alignment horizontal="center"/>
    </xf>
    <xf numFmtId="175" fontId="0" fillId="0" borderId="16" xfId="0" applyNumberFormat="1" applyFont="1" applyFill="1" applyBorder="1" applyAlignment="1">
      <alignment horizontal="center"/>
    </xf>
    <xf numFmtId="175" fontId="0" fillId="34" borderId="11" xfId="0" applyNumberFormat="1" applyFill="1" applyBorder="1" applyAlignment="1">
      <alignment/>
    </xf>
    <xf numFmtId="0" fontId="0" fillId="0" borderId="0" xfId="0" applyBorder="1" applyAlignment="1">
      <alignment horizontal="centerContinuous"/>
    </xf>
    <xf numFmtId="0" fontId="1" fillId="0" borderId="0" xfId="0" applyFont="1" applyBorder="1" applyAlignment="1">
      <alignment horizontal="centerContinuous"/>
    </xf>
    <xf numFmtId="0" fontId="1" fillId="0" borderId="0" xfId="0" applyFont="1" applyBorder="1" applyAlignment="1" quotePrefix="1">
      <alignment horizontal="centerContinuous"/>
    </xf>
    <xf numFmtId="3" fontId="1" fillId="0" borderId="0" xfId="0" applyNumberFormat="1" applyFont="1" applyBorder="1" applyAlignment="1" quotePrefix="1">
      <alignment horizontal="right" wrapText="1"/>
    </xf>
    <xf numFmtId="3" fontId="1" fillId="0" borderId="0" xfId="0" applyNumberFormat="1" applyFont="1" applyBorder="1" applyAlignment="1">
      <alignment horizontal="right" wrapText="1"/>
    </xf>
    <xf numFmtId="175" fontId="0" fillId="0" borderId="0" xfId="65" applyNumberFormat="1" applyBorder="1" applyAlignment="1">
      <alignment/>
    </xf>
    <xf numFmtId="175" fontId="0" fillId="0" borderId="0" xfId="0" applyNumberFormat="1" applyBorder="1" applyAlignment="1">
      <alignment/>
    </xf>
    <xf numFmtId="171" fontId="0" fillId="0" borderId="0" xfId="0" applyNumberFormat="1" applyFont="1" applyFill="1" applyBorder="1" applyAlignment="1" quotePrefix="1">
      <alignment horizontal="left"/>
    </xf>
    <xf numFmtId="186" fontId="0" fillId="0" borderId="0" xfId="65" applyNumberFormat="1" applyFont="1" applyAlignment="1">
      <alignment/>
    </xf>
    <xf numFmtId="177" fontId="0" fillId="0" borderId="0" xfId="0" applyNumberFormat="1" applyFont="1" applyFill="1" applyBorder="1" applyAlignment="1">
      <alignment horizontal="right" wrapText="1"/>
    </xf>
    <xf numFmtId="171" fontId="0" fillId="0" borderId="0" xfId="0" applyNumberFormat="1" applyFont="1" applyFill="1" applyBorder="1" applyAlignment="1">
      <alignment horizontal="right"/>
    </xf>
    <xf numFmtId="10" fontId="0" fillId="0" borderId="0" xfId="0" applyNumberFormat="1" applyFont="1" applyFill="1" applyAlignment="1" quotePrefix="1">
      <alignment horizontal="left"/>
    </xf>
    <xf numFmtId="175" fontId="0" fillId="0" borderId="0" xfId="0" applyNumberFormat="1" applyFont="1" applyFill="1" applyAlignment="1">
      <alignment horizontal="right"/>
    </xf>
    <xf numFmtId="171" fontId="0" fillId="0" borderId="0" xfId="0" applyNumberFormat="1" applyFont="1" applyFill="1" applyBorder="1" applyAlignment="1">
      <alignment wrapText="1"/>
    </xf>
    <xf numFmtId="171" fontId="0" fillId="0" borderId="0" xfId="0" applyNumberFormat="1" applyFont="1" applyFill="1" applyAlignment="1">
      <alignment/>
    </xf>
    <xf numFmtId="3" fontId="0" fillId="0" borderId="0" xfId="0" applyNumberFormat="1" applyFont="1" applyFill="1" applyBorder="1" applyAlignment="1">
      <alignment wrapText="1"/>
    </xf>
    <xf numFmtId="9" fontId="0" fillId="0" borderId="0" xfId="0" applyNumberFormat="1" applyFont="1" applyFill="1" applyAlignment="1">
      <alignment horizontal="right"/>
    </xf>
    <xf numFmtId="0" fontId="2" fillId="0" borderId="0" xfId="0" applyFont="1" applyFill="1" applyAlignment="1" quotePrefix="1">
      <alignment horizontal="right"/>
    </xf>
    <xf numFmtId="164" fontId="0" fillId="0" borderId="0" xfId="0" applyNumberFormat="1" applyFont="1" applyFill="1" applyBorder="1" applyAlignment="1">
      <alignment horizontal="right"/>
    </xf>
    <xf numFmtId="164" fontId="0" fillId="0" borderId="0" xfId="0" applyNumberFormat="1" applyFont="1" applyFill="1" applyBorder="1" applyAlignment="1" quotePrefix="1">
      <alignment horizontal="right" wrapText="1"/>
    </xf>
    <xf numFmtId="0" fontId="0" fillId="0" borderId="0" xfId="0" applyFont="1" applyFill="1" applyAlignment="1" quotePrefix="1">
      <alignment horizontal="right" wrapText="1"/>
    </xf>
    <xf numFmtId="0" fontId="1" fillId="0" borderId="0" xfId="0" applyFont="1" applyFill="1" applyAlignment="1">
      <alignment horizontal="right"/>
    </xf>
    <xf numFmtId="0" fontId="1" fillId="0" borderId="0" xfId="0" applyFont="1" applyFill="1" applyAlignment="1" quotePrefix="1">
      <alignment horizontal="right"/>
    </xf>
    <xf numFmtId="3" fontId="0" fillId="0" borderId="0" xfId="0" applyNumberFormat="1" applyFont="1" applyFill="1" applyBorder="1" applyAlignment="1">
      <alignment horizontal="right" wrapText="1"/>
    </xf>
    <xf numFmtId="175" fontId="0" fillId="0" borderId="0" xfId="65" applyNumberFormat="1" applyFont="1" applyAlignment="1">
      <alignment/>
    </xf>
    <xf numFmtId="176" fontId="0" fillId="0" borderId="22" xfId="0" applyNumberFormat="1" applyBorder="1" applyAlignment="1">
      <alignment/>
    </xf>
    <xf numFmtId="181" fontId="0" fillId="33" borderId="50" xfId="0" applyNumberFormat="1" applyFont="1" applyFill="1" applyBorder="1" applyAlignment="1">
      <alignment/>
    </xf>
    <xf numFmtId="0" fontId="2" fillId="0" borderId="16" xfId="0" applyFont="1" applyFill="1" applyBorder="1" applyAlignment="1" quotePrefix="1">
      <alignment horizontal="left"/>
    </xf>
    <xf numFmtId="0" fontId="0" fillId="0" borderId="0" xfId="0" applyFont="1" applyAlignment="1" quotePrefix="1">
      <alignment horizontal="left" vertical="center"/>
    </xf>
    <xf numFmtId="0" fontId="0" fillId="0" borderId="0" xfId="0" applyAlignment="1">
      <alignment/>
    </xf>
    <xf numFmtId="170" fontId="0" fillId="0" borderId="0" xfId="0" applyNumberFormat="1" applyFont="1" applyAlignment="1">
      <alignment/>
    </xf>
    <xf numFmtId="172" fontId="0" fillId="0" borderId="0" xfId="0" applyNumberFormat="1" applyFont="1" applyBorder="1" applyAlignment="1">
      <alignment/>
    </xf>
    <xf numFmtId="170" fontId="0" fillId="0" borderId="0" xfId="0" applyNumberFormat="1" applyFont="1" applyBorder="1" applyAlignment="1">
      <alignment/>
    </xf>
    <xf numFmtId="171" fontId="0" fillId="0" borderId="0" xfId="0" applyNumberFormat="1" applyFont="1" applyAlignment="1" quotePrefix="1">
      <alignment horizontal="left"/>
    </xf>
    <xf numFmtId="3" fontId="0" fillId="0" borderId="0" xfId="0" applyNumberFormat="1" applyBorder="1" applyAlignment="1" quotePrefix="1">
      <alignment horizontal="right"/>
    </xf>
    <xf numFmtId="175" fontId="0" fillId="0" borderId="0" xfId="65" applyNumberFormat="1" applyFont="1" applyBorder="1" applyAlignment="1">
      <alignment/>
    </xf>
    <xf numFmtId="176" fontId="0" fillId="0" borderId="0" xfId="0" applyNumberFormat="1" applyFill="1" applyBorder="1" applyAlignment="1">
      <alignment/>
    </xf>
    <xf numFmtId="165" fontId="0" fillId="0" borderId="0" xfId="0" applyNumberFormat="1" applyFont="1" applyFill="1" applyBorder="1" applyAlignment="1">
      <alignment/>
    </xf>
    <xf numFmtId="3" fontId="0" fillId="0" borderId="0" xfId="0" applyNumberFormat="1" applyFont="1" applyFill="1" applyBorder="1" applyAlignment="1">
      <alignment/>
    </xf>
    <xf numFmtId="171" fontId="2" fillId="0" borderId="0" xfId="0" applyNumberFormat="1" applyFont="1" applyFill="1" applyBorder="1" applyAlignment="1">
      <alignment horizontal="right" wrapText="1"/>
    </xf>
    <xf numFmtId="0" fontId="2" fillId="0" borderId="0" xfId="0" applyFont="1" applyFill="1" applyBorder="1" applyAlignment="1">
      <alignment/>
    </xf>
    <xf numFmtId="3" fontId="2" fillId="0" borderId="0" xfId="0" applyNumberFormat="1" applyFont="1" applyFill="1" applyBorder="1" applyAlignment="1">
      <alignment/>
    </xf>
    <xf numFmtId="0" fontId="2" fillId="0" borderId="0" xfId="0" applyFont="1" applyFill="1" applyBorder="1" applyAlignment="1">
      <alignment horizontal="centerContinuous"/>
    </xf>
    <xf numFmtId="0" fontId="0" fillId="0" borderId="0" xfId="0" applyFill="1" applyBorder="1" applyAlignment="1">
      <alignment horizontal="centerContinuous"/>
    </xf>
    <xf numFmtId="179" fontId="0" fillId="0" borderId="0" xfId="0" applyNumberFormat="1" applyFill="1" applyBorder="1" applyAlignment="1">
      <alignment/>
    </xf>
    <xf numFmtId="0" fontId="0" fillId="0" borderId="0" xfId="0" applyFont="1" applyAlignment="1">
      <alignment horizontal="left" vertical="center" wrapText="1"/>
    </xf>
    <xf numFmtId="0" fontId="0" fillId="0" borderId="0" xfId="0" applyAlignment="1">
      <alignment/>
    </xf>
    <xf numFmtId="0" fontId="0" fillId="0" borderId="0" xfId="0" applyFont="1" applyAlignment="1" quotePrefix="1">
      <alignment horizontal="left" wrapText="1"/>
    </xf>
    <xf numFmtId="0" fontId="0" fillId="0" borderId="0" xfId="0" applyAlignment="1">
      <alignment wrapText="1"/>
    </xf>
    <xf numFmtId="0" fontId="0" fillId="0" borderId="0" xfId="0" applyFont="1" applyAlignment="1" quotePrefix="1">
      <alignment horizontal="left" vertical="center" wrapText="1"/>
    </xf>
    <xf numFmtId="0" fontId="0" fillId="0" borderId="0" xfId="0" applyAlignment="1">
      <alignmen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Milliers [0]_EDYAN" xfId="57"/>
    <cellStyle name="Milliers_EDYAN" xfId="58"/>
    <cellStyle name="Monétaire [0]_EDYAN" xfId="59"/>
    <cellStyle name="Monétaire_EDYAN" xfId="60"/>
    <cellStyle name="Neutral" xfId="61"/>
    <cellStyle name="Normal - Style1"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externalLink" Target="externalLinks/externalLink1.xml" /><Relationship Id="rId50" Type="http://schemas.openxmlformats.org/officeDocument/2006/relationships/externalLink" Target="externalLinks/externalLink2.xml" /><Relationship Id="rId51" Type="http://schemas.openxmlformats.org/officeDocument/2006/relationships/externalLink" Target="externalLinks/externalLink3.xml" /><Relationship Id="rId5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hack\Post\UAA\Update\ACR15\PARS15\Costs\UAA%20PARS15%20Model-BaseCFS%20PR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hack\Post\UAA\Update\ACR15\PARS15\Costs\UAA%20PARS15%20Model-BasePlnt%20PR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hack\Post\UAA\Update\ACR15\PARS15\Costs\UAA%20PARS15%20Model-BaseDU%20PR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FS-Form Processing"/>
      <sheetName val="CFS-Total Processing Cost"/>
      <sheetName val="CFS-Letter Processing"/>
      <sheetName val="CFS-Non Letter Processing"/>
      <sheetName val="CFS-Non Let CIOSS Rejs"/>
      <sheetName val="Form 3547 Distribution"/>
      <sheetName val="Form 3579 Distribution"/>
      <sheetName val="Mail Processing"/>
      <sheetName val="Key Rates"/>
      <sheetName val="CFS Support Costs"/>
      <sheetName val="CFS-Prods"/>
      <sheetName val="CFS-CRA"/>
      <sheetName val="CFS-Forms"/>
      <sheetName val="CFS-Volumes"/>
      <sheetName val="checksu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lumes Check"/>
      <sheetName val="REC Cost"/>
      <sheetName val="REC Piece Prods"/>
      <sheetName val="REC Unit Prods"/>
      <sheetName val="REC Prods"/>
      <sheetName val="CIOSS Cost"/>
      <sheetName val="CIOSS Prods"/>
      <sheetName val="Route Volume"/>
      <sheetName val="AFR Pieces2"/>
      <sheetName val="AFR Pieces"/>
      <sheetName val="AFR Input"/>
      <sheetName val="CIOSS Rejects"/>
      <sheetName val="PD Vols"/>
      <sheetName val="checksum"/>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oute-All Shapes NoPARS"/>
      <sheetName val="Route-All Shapes PARS"/>
      <sheetName val="Route-Letters NoPARS"/>
      <sheetName val="Route-Letters PARS"/>
      <sheetName val="CP Model"/>
      <sheetName val="Route-All Shapes"/>
      <sheetName val="Route-Parcels"/>
      <sheetName val="Route-Flats"/>
      <sheetName val="Route-Letters"/>
      <sheetName val="DU-Nixie &amp; PD Units"/>
      <sheetName val="Form 3547 Distribution"/>
      <sheetName val="Form 3579 Distribution"/>
      <sheetName val="DU-Nixie Forms"/>
      <sheetName val="DU-Accountables"/>
      <sheetName val="DU-Accountables Forms"/>
      <sheetName val="DU-No Record Mail"/>
      <sheetName val="CC Calibrate"/>
      <sheetName val="COA Carrier Detail"/>
      <sheetName val="DU-CFS COA Forms"/>
      <sheetName val="DU-Form 3546 Returns"/>
      <sheetName val="Route-Pieces"/>
      <sheetName val="Route-Pieces2"/>
      <sheetName val="NRM-Pieces"/>
      <sheetName val="NixUnit-Pieces"/>
      <sheetName val="NixUnit-Pieces2"/>
      <sheetName val="AcctUnit-Pieces"/>
      <sheetName val="COA-Forms"/>
      <sheetName val="DU-CRA COSTS"/>
      <sheetName val="PB Factors"/>
      <sheetName val="Route-Prods"/>
      <sheetName val="Nixie-Prods"/>
      <sheetName val="PD-Prods"/>
      <sheetName val="IOCS Inputs"/>
      <sheetName val="NCSC Support Costs"/>
      <sheetName val="PARS Parameters"/>
      <sheetName val="checksu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0.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1.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2.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3.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14.vml" /><Relationship Id="rId3"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9:H11"/>
  <sheetViews>
    <sheetView zoomScale="70" zoomScaleNormal="70" zoomScalePageLayoutView="0" workbookViewId="0" topLeftCell="A1">
      <selection activeCell="A1" sqref="A1"/>
    </sheetView>
  </sheetViews>
  <sheetFormatPr defaultColWidth="9.140625" defaultRowHeight="12.75"/>
  <sheetData>
    <row r="9" spans="1:8" ht="18">
      <c r="A9" s="167" t="s">
        <v>557</v>
      </c>
      <c r="B9" s="107"/>
      <c r="C9" s="107"/>
      <c r="D9" s="107"/>
      <c r="E9" s="107"/>
      <c r="F9" s="107"/>
      <c r="G9" s="107"/>
      <c r="H9" s="107"/>
    </row>
    <row r="10" spans="1:8" ht="18">
      <c r="A10" s="167" t="s">
        <v>395</v>
      </c>
      <c r="B10" s="107"/>
      <c r="C10" s="107"/>
      <c r="D10" s="107"/>
      <c r="E10" s="107"/>
      <c r="F10" s="107"/>
      <c r="G10" s="107"/>
      <c r="H10" s="107"/>
    </row>
    <row r="11" spans="1:8" ht="18">
      <c r="A11" s="167" t="s">
        <v>823</v>
      </c>
      <c r="B11" s="107"/>
      <c r="C11" s="107"/>
      <c r="D11" s="107"/>
      <c r="E11" s="107"/>
      <c r="F11" s="107"/>
      <c r="G11" s="107"/>
      <c r="H11" s="107"/>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66"/>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75">
      <c r="A1" s="157" t="s">
        <v>552</v>
      </c>
      <c r="B1" s="19"/>
      <c r="C1" s="19"/>
      <c r="D1" s="19"/>
      <c r="E1" s="19"/>
      <c r="F1" s="19"/>
      <c r="G1" s="19"/>
      <c r="H1" s="19"/>
      <c r="I1" s="19"/>
      <c r="J1" s="19"/>
    </row>
    <row r="2" spans="1:10" s="13" customFormat="1" ht="15.75">
      <c r="A2" s="158" t="s">
        <v>787</v>
      </c>
      <c r="B2" s="19"/>
      <c r="C2" s="19"/>
      <c r="D2" s="19"/>
      <c r="E2" s="19"/>
      <c r="F2" s="19"/>
      <c r="G2" s="19"/>
      <c r="H2" s="19"/>
      <c r="I2" s="19"/>
      <c r="J2" s="19"/>
    </row>
    <row r="3" spans="2:10" ht="38.25">
      <c r="B3" s="168" t="s">
        <v>109</v>
      </c>
      <c r="C3" s="168"/>
      <c r="D3" s="169" t="s">
        <v>104</v>
      </c>
      <c r="E3" s="169"/>
      <c r="F3" s="168" t="s">
        <v>110</v>
      </c>
      <c r="G3" s="168"/>
      <c r="H3" s="170" t="s">
        <v>97</v>
      </c>
      <c r="I3" s="170"/>
      <c r="J3" s="171" t="s">
        <v>105</v>
      </c>
    </row>
    <row r="4" ht="12.75">
      <c r="A4" s="333" t="s">
        <v>642</v>
      </c>
    </row>
    <row r="5" spans="1:10" ht="12.75">
      <c r="A5" s="353" t="s">
        <v>481</v>
      </c>
      <c r="B5" s="6">
        <f>'Table 3.24-CIOSS Detail'!E13</f>
        <v>592552.0164599075</v>
      </c>
      <c r="C5" s="241" t="s">
        <v>242</v>
      </c>
      <c r="D5" s="83">
        <f>F5/B5</f>
        <v>0.04745476486120108</v>
      </c>
      <c r="F5" s="175">
        <f>'Table 3.24-CIOSS Detail'!K13</f>
        <v>28119.416609135464</v>
      </c>
      <c r="G5" s="241" t="s">
        <v>242</v>
      </c>
      <c r="H5" s="358">
        <f>B5/$B$48</f>
        <v>0.6860997432258972</v>
      </c>
      <c r="J5" s="22">
        <f>D5*H5</f>
        <v>0.032558701986115386</v>
      </c>
    </row>
    <row r="6" spans="1:10" ht="12.75">
      <c r="A6" s="353" t="s">
        <v>95</v>
      </c>
      <c r="B6" s="6">
        <f>'Table 3.28-REC Volume'!G13</f>
        <v>225169.76625476487</v>
      </c>
      <c r="C6" s="241" t="s">
        <v>243</v>
      </c>
      <c r="D6" s="83">
        <f>F6/B6</f>
        <v>0</v>
      </c>
      <c r="F6" s="175">
        <v>0</v>
      </c>
      <c r="G6" s="241"/>
      <c r="H6" s="358">
        <f>B6/$B$48</f>
        <v>0.2607179024258409</v>
      </c>
      <c r="J6" s="22">
        <f>D6*H6</f>
        <v>0</v>
      </c>
    </row>
    <row r="7" spans="1:10" ht="12.75">
      <c r="A7" s="239" t="s">
        <v>499</v>
      </c>
      <c r="B7" s="6">
        <f>'Table 3.28-REC Volume'!H13</f>
        <v>337754.64938214724</v>
      </c>
      <c r="C7" s="241" t="s">
        <v>243</v>
      </c>
      <c r="D7" s="83">
        <f>F7/B7</f>
        <v>0.054938260564600175</v>
      </c>
      <c r="F7" s="175">
        <f>'Table 3.26-REC Detail NonACS'!K13</f>
        <v>18555.65293466158</v>
      </c>
      <c r="G7" s="241" t="s">
        <v>582</v>
      </c>
      <c r="H7" s="358">
        <f>B7/$B$48</f>
        <v>0.3910768536387613</v>
      </c>
      <c r="J7" s="22">
        <f>D7*H7</f>
        <v>0.021485082085990276</v>
      </c>
    </row>
    <row r="8" spans="1:10" ht="12.75">
      <c r="A8" s="239" t="s">
        <v>676</v>
      </c>
      <c r="B8" s="6">
        <v>0</v>
      </c>
      <c r="C8" s="27"/>
      <c r="D8" s="83">
        <v>0</v>
      </c>
      <c r="F8" s="175">
        <v>0</v>
      </c>
      <c r="G8" s="27"/>
      <c r="H8" s="358">
        <f>B8/$B$48</f>
        <v>0</v>
      </c>
      <c r="J8" s="22">
        <f>D8*H8</f>
        <v>0</v>
      </c>
    </row>
    <row r="9" spans="1:10" ht="12.75">
      <c r="A9" s="239" t="s">
        <v>488</v>
      </c>
      <c r="B9" s="6">
        <f>'Table 3.18-Nixie UAA'!D37</f>
        <v>29627.600822995384</v>
      </c>
      <c r="C9" s="241" t="s">
        <v>244</v>
      </c>
      <c r="D9" s="83">
        <f>F9/B9</f>
        <v>0.014993993695098868</v>
      </c>
      <c r="F9" s="175">
        <f>'Table 3.18-Nixie UAA'!I37</f>
        <v>444.2360599408988</v>
      </c>
      <c r="G9" s="241" t="s">
        <v>244</v>
      </c>
      <c r="H9" s="358">
        <f>B9/$B$48</f>
        <v>0.03430498716129487</v>
      </c>
      <c r="J9" s="22">
        <f>D9*H9</f>
        <v>0.0005143687612069029</v>
      </c>
    </row>
    <row r="10" spans="1:10" ht="12.75">
      <c r="A10" s="82" t="s">
        <v>102</v>
      </c>
      <c r="B10" s="6">
        <f>B5</f>
        <v>592552.0164599075</v>
      </c>
      <c r="D10" s="83">
        <f>F10/B10</f>
        <v>0.07951927306777812</v>
      </c>
      <c r="F10" s="165">
        <f>SUM(F5:F9)</f>
        <v>47119.30560373794</v>
      </c>
      <c r="H10" s="142"/>
      <c r="J10" s="22">
        <f>SUM(J5:J9)</f>
        <v>0.05455815283331257</v>
      </c>
    </row>
    <row r="11" spans="1:8" ht="4.5" customHeight="1">
      <c r="A11" s="82"/>
      <c r="B11" s="6"/>
      <c r="F11" s="165"/>
      <c r="H11" s="142"/>
    </row>
    <row r="12" spans="1:8" ht="12.75">
      <c r="A12" s="333" t="s">
        <v>643</v>
      </c>
      <c r="B12" s="6"/>
      <c r="F12" s="165"/>
      <c r="H12" s="142"/>
    </row>
    <row r="13" spans="1:10" ht="12.75">
      <c r="A13" s="353" t="s">
        <v>481</v>
      </c>
      <c r="B13" s="6">
        <f>SUM('Table 3.24-CIOSS Detail'!E6,'Table 3.24-CIOSS Detail'!E10)</f>
        <v>57911.26391813522</v>
      </c>
      <c r="C13" s="241" t="s">
        <v>242</v>
      </c>
      <c r="D13" s="83">
        <f>F13/B13</f>
        <v>0.04745476486120108</v>
      </c>
      <c r="F13" s="175">
        <f>SUM('Table 3.24-CIOSS Detail'!K6,'Table 3.24-CIOSS Detail'!K10)</f>
        <v>2748.1654120500652</v>
      </c>
      <c r="G13" s="241" t="s">
        <v>242</v>
      </c>
      <c r="H13" s="358">
        <f>B13/$B$48</f>
        <v>0.06705386565300481</v>
      </c>
      <c r="J13" s="22">
        <f>D13*H13</f>
        <v>0.0031820254275979104</v>
      </c>
    </row>
    <row r="14" spans="1:10" ht="12.75">
      <c r="A14" s="353" t="s">
        <v>95</v>
      </c>
      <c r="B14" s="6">
        <f>SUM('Table 3.28-REC Volume'!G6,'Table 3.28-REC Volume'!G10)</f>
        <v>22687.58617030993</v>
      </c>
      <c r="C14" s="241" t="s">
        <v>243</v>
      </c>
      <c r="D14" s="83">
        <f>F14/B14</f>
        <v>0</v>
      </c>
      <c r="F14" s="175">
        <v>0</v>
      </c>
      <c r="H14" s="358">
        <f>B14/$B$48</f>
        <v>0.02626933435964142</v>
      </c>
      <c r="J14" s="22">
        <f>D14*H14</f>
        <v>0</v>
      </c>
    </row>
    <row r="15" spans="1:10" ht="12.75">
      <c r="A15" s="239" t="s">
        <v>499</v>
      </c>
      <c r="B15" s="6">
        <f>SUM('Table 3.28-REC Volume'!H6)</f>
        <v>5270.538118439171</v>
      </c>
      <c r="C15" s="241" t="s">
        <v>243</v>
      </c>
      <c r="D15" s="83">
        <f>F15/B15</f>
        <v>0.05493826056460017</v>
      </c>
      <c r="F15" s="165">
        <f>SUM('Table 3.26-REC Detail NonACS'!K6)</f>
        <v>289.5541964664687</v>
      </c>
      <c r="G15" s="241" t="s">
        <v>582</v>
      </c>
      <c r="H15" s="358">
        <f>B15/$B$48</f>
        <v>0.006102611668300831</v>
      </c>
      <c r="J15" s="22">
        <f>D15*H15</f>
        <v>0.0003352668699576804</v>
      </c>
    </row>
    <row r="16" spans="1:10" ht="12.75">
      <c r="A16" s="239" t="s">
        <v>676</v>
      </c>
      <c r="B16" s="6">
        <f>SUM('Table 3.28-REC Volume'!H10)</f>
        <v>28760.84113702572</v>
      </c>
      <c r="C16" s="241" t="s">
        <v>243</v>
      </c>
      <c r="D16" s="83">
        <f>F16/B16</f>
        <v>0.027469130282300084</v>
      </c>
      <c r="F16" s="165">
        <f>SUM('Table 3.26-REC Detail NonACS'!K10)</f>
        <v>790.0352922214952</v>
      </c>
      <c r="G16" s="241" t="s">
        <v>582</v>
      </c>
      <c r="H16" s="358">
        <f>B16/$B$48</f>
        <v>0.0333013898711613</v>
      </c>
      <c r="J16" s="22">
        <f>D16*H16</f>
        <v>0.0009147602169525981</v>
      </c>
    </row>
    <row r="17" spans="1:10" ht="12.75">
      <c r="A17" s="239" t="s">
        <v>489</v>
      </c>
      <c r="B17" s="6">
        <v>1192.2984923603988</v>
      </c>
      <c r="C17" s="12" t="s">
        <v>586</v>
      </c>
      <c r="D17" s="83">
        <f>'Table 3.21-CFS CIOSS Rejs'!I19</f>
        <v>0.23654193194975762</v>
      </c>
      <c r="E17" s="12" t="s">
        <v>587</v>
      </c>
      <c r="F17" s="165">
        <f>B17*D17</f>
        <v>282.02858884371204</v>
      </c>
      <c r="H17" s="358">
        <f>B17/$B$48</f>
        <v>0.001380529753901264</v>
      </c>
      <c r="J17" s="22">
        <f>D17*H17</f>
        <v>0.00032655317510192844</v>
      </c>
    </row>
    <row r="18" spans="1:10" ht="12.75">
      <c r="A18" s="82" t="s">
        <v>102</v>
      </c>
      <c r="B18" s="6">
        <f>B13</f>
        <v>57911.26391813522</v>
      </c>
      <c r="D18" s="83">
        <f>F18/B18</f>
        <v>0.07096691060639657</v>
      </c>
      <c r="F18" s="165">
        <f>SUM(F13:F17)</f>
        <v>4109.783489581741</v>
      </c>
      <c r="H18" s="142"/>
      <c r="J18" s="22">
        <f>SUM(J13:J17)</f>
        <v>0.004758605689610118</v>
      </c>
    </row>
    <row r="19" ht="4.5" customHeight="1"/>
    <row r="20" ht="12.75">
      <c r="A20" s="15" t="s">
        <v>644</v>
      </c>
    </row>
    <row r="21" spans="1:10" ht="12.75">
      <c r="A21" s="353" t="s">
        <v>307</v>
      </c>
      <c r="B21" s="6">
        <f>'Table 3.16-Route UAA PARS'!D108</f>
        <v>31182.98826361127</v>
      </c>
      <c r="C21" s="285" t="s">
        <v>590</v>
      </c>
      <c r="D21" s="83">
        <f aca="true" t="shared" si="0" ref="D21:D26">F21/B21</f>
        <v>0.06238767033958457</v>
      </c>
      <c r="E21" s="285"/>
      <c r="F21" s="175">
        <f>'Table 3.16-Route UAA PARS'!J108</f>
        <v>1945.4339919933145</v>
      </c>
      <c r="G21" s="285" t="s">
        <v>590</v>
      </c>
      <c r="H21" s="358">
        <f aca="true" t="shared" si="1" ref="H21:H27">B21/$B$48</f>
        <v>0.03610592765931028</v>
      </c>
      <c r="J21" s="22">
        <f aca="true" t="shared" si="2" ref="J21:J27">D21*H21</f>
        <v>0.002252564712113938</v>
      </c>
    </row>
    <row r="22" spans="1:10" ht="12.75">
      <c r="A22" s="353" t="s">
        <v>495</v>
      </c>
      <c r="B22" s="6">
        <f>'Table 3.18-Nixie UAA'!D8</f>
        <v>31182.988263611267</v>
      </c>
      <c r="C22" s="285" t="s">
        <v>591</v>
      </c>
      <c r="D22" s="83">
        <f t="shared" si="0"/>
        <v>0.006032795169194398</v>
      </c>
      <c r="E22" s="285"/>
      <c r="F22" s="175">
        <f>'Table 3.18-Nixie UAA'!I8</f>
        <v>188.12058095775964</v>
      </c>
      <c r="G22" s="285" t="s">
        <v>591</v>
      </c>
      <c r="H22" s="358">
        <f t="shared" si="1"/>
        <v>0.036105927659310276</v>
      </c>
      <c r="J22" s="22">
        <f t="shared" si="2"/>
        <v>0.00021781966596236943</v>
      </c>
    </row>
    <row r="23" spans="1:10" ht="12.75">
      <c r="A23" s="353" t="s">
        <v>481</v>
      </c>
      <c r="B23" s="6">
        <f>SUM('Table 3.24-CIOSS Detail'!E21,'Table 3.24-CIOSS Detail'!E25)</f>
        <v>31182.988263611274</v>
      </c>
      <c r="C23" s="241" t="s">
        <v>242</v>
      </c>
      <c r="D23" s="83">
        <f t="shared" si="0"/>
        <v>0.035731401032292685</v>
      </c>
      <c r="E23" s="285"/>
      <c r="F23" s="175">
        <f>SUM('Table 3.24-CIOSS Detail'!K21,'Table 3.24-CIOSS Detail'!K25)</f>
        <v>1114.2118590323705</v>
      </c>
      <c r="G23" s="241" t="s">
        <v>242</v>
      </c>
      <c r="H23" s="358">
        <f t="shared" si="1"/>
        <v>0.03610592765931028</v>
      </c>
      <c r="J23" s="22">
        <f t="shared" si="2"/>
        <v>0.0012901153808377644</v>
      </c>
    </row>
    <row r="24" spans="1:10" ht="12.75">
      <c r="A24" s="353" t="s">
        <v>95</v>
      </c>
      <c r="B24" s="6">
        <f>SUM('Table 3.28-REC Volume'!G21,'Table 3.28-REC Volume'!G25)</f>
        <v>7024.425718115189</v>
      </c>
      <c r="C24" s="241" t="s">
        <v>243</v>
      </c>
      <c r="D24" s="83">
        <f t="shared" si="0"/>
        <v>0</v>
      </c>
      <c r="F24" s="175">
        <v>0</v>
      </c>
      <c r="H24" s="358">
        <f t="shared" si="1"/>
        <v>0.008133390061350516</v>
      </c>
      <c r="J24" s="22">
        <f t="shared" si="2"/>
        <v>0</v>
      </c>
    </row>
    <row r="25" spans="1:10" ht="12.75">
      <c r="A25" s="239" t="s">
        <v>499</v>
      </c>
      <c r="B25" s="6">
        <f>SUM('Table 3.28-REC Volume'!H21)</f>
        <v>3642.076981844504</v>
      </c>
      <c r="C25" s="241" t="s">
        <v>243</v>
      </c>
      <c r="D25" s="83">
        <f t="shared" si="0"/>
        <v>0.05493826056460017</v>
      </c>
      <c r="E25" s="285"/>
      <c r="F25" s="175">
        <f>SUM('Table 3.26-REC Detail NonACS'!K21)</f>
        <v>200.08937422490592</v>
      </c>
      <c r="G25" s="241" t="s">
        <v>582</v>
      </c>
      <c r="H25" s="358">
        <f t="shared" si="1"/>
        <v>0.004217061140018139</v>
      </c>
      <c r="J25" s="22">
        <f t="shared" si="2"/>
        <v>0.00023167800372716633</v>
      </c>
    </row>
    <row r="26" spans="1:10" ht="12.75" customHeight="1">
      <c r="A26" s="239" t="s">
        <v>676</v>
      </c>
      <c r="B26" s="6">
        <f>SUM('Table 3.28-REC Volume'!H25)</f>
        <v>19874.478683149824</v>
      </c>
      <c r="C26" s="241" t="s">
        <v>243</v>
      </c>
      <c r="D26" s="83">
        <f t="shared" si="0"/>
        <v>0.027469130282300084</v>
      </c>
      <c r="E26" s="285"/>
      <c r="F26" s="175">
        <f>SUM('Table 3.26-REC Detail NonACS'!K25)</f>
        <v>545.9346442402383</v>
      </c>
      <c r="G26" s="241" t="s">
        <v>582</v>
      </c>
      <c r="H26" s="358">
        <f t="shared" si="1"/>
        <v>0.023012114282764024</v>
      </c>
      <c r="J26" s="22">
        <f t="shared" si="2"/>
        <v>0.0006321227653044235</v>
      </c>
    </row>
    <row r="27" spans="1:10" ht="12.75">
      <c r="A27" s="239" t="s">
        <v>489</v>
      </c>
      <c r="B27" s="6">
        <f>'Table 3.21-CFS CIOSS Rejs'!B19-B17</f>
        <v>642.0068805017529</v>
      </c>
      <c r="C27" s="285" t="s">
        <v>592</v>
      </c>
      <c r="D27" s="83">
        <f>'Table 3.21-CFS CIOSS Rejs'!I19</f>
        <v>0.23654193194975762</v>
      </c>
      <c r="E27" s="12" t="s">
        <v>587</v>
      </c>
      <c r="F27" s="165">
        <f>B27*D27</f>
        <v>151.8615478389218</v>
      </c>
      <c r="H27" s="358">
        <f t="shared" si="1"/>
        <v>0.0007433621751776033</v>
      </c>
      <c r="J27" s="22">
        <f t="shared" si="2"/>
        <v>0.00017583632505488445</v>
      </c>
    </row>
    <row r="28" spans="1:10" ht="12.75">
      <c r="A28" s="100" t="s">
        <v>102</v>
      </c>
      <c r="B28" s="324">
        <f>B21</f>
        <v>31182.98826361127</v>
      </c>
      <c r="C28" s="18"/>
      <c r="D28" s="83">
        <f>F28/B28</f>
        <v>0.13294594999175383</v>
      </c>
      <c r="E28" s="18"/>
      <c r="F28" s="113">
        <f>SUM(F21:F27)</f>
        <v>4145.651998287511</v>
      </c>
      <c r="G28" s="18"/>
      <c r="H28" s="142"/>
      <c r="I28" s="18"/>
      <c r="J28" s="552">
        <f>SUM(J21:J27)</f>
        <v>0.004800136853000546</v>
      </c>
    </row>
    <row r="29" spans="1:10" ht="4.5" customHeight="1">
      <c r="A29" s="100"/>
      <c r="B29" s="324"/>
      <c r="C29" s="18"/>
      <c r="D29" s="18"/>
      <c r="E29" s="18"/>
      <c r="F29" s="113"/>
      <c r="G29" s="18"/>
      <c r="H29" s="142"/>
      <c r="I29" s="18"/>
      <c r="J29" s="18"/>
    </row>
    <row r="30" spans="1:10" ht="12.75" customHeight="1">
      <c r="A30" s="15" t="s">
        <v>645</v>
      </c>
      <c r="B30" s="324"/>
      <c r="C30" s="18"/>
      <c r="D30" s="18"/>
      <c r="E30" s="18"/>
      <c r="F30" s="113"/>
      <c r="G30" s="18"/>
      <c r="H30" s="142"/>
      <c r="I30" s="18"/>
      <c r="J30" s="18"/>
    </row>
    <row r="31" spans="1:10" ht="12.75" customHeight="1">
      <c r="A31" s="353" t="s">
        <v>481</v>
      </c>
      <c r="B31" s="324">
        <f>'Table 3.24-CIOSS Detail'!E16</f>
        <v>11830.342979425972</v>
      </c>
      <c r="C31" s="241" t="s">
        <v>242</v>
      </c>
      <c r="D31" s="83">
        <f>F31/B31</f>
        <v>0.047454764861201086</v>
      </c>
      <c r="E31" s="18"/>
      <c r="F31" s="113">
        <f>'Table 3.24-CIOSS Detail'!K16</f>
        <v>561.4061443160206</v>
      </c>
      <c r="G31" s="241" t="s">
        <v>242</v>
      </c>
      <c r="H31" s="358">
        <f>B31/$B$48</f>
        <v>0.013698029970348843</v>
      </c>
      <c r="I31" s="18"/>
      <c r="J31" s="22">
        <f>D31*H31</f>
        <v>0.0006500367913045897</v>
      </c>
    </row>
    <row r="32" spans="1:10" ht="12.75" customHeight="1">
      <c r="A32" s="353" t="s">
        <v>95</v>
      </c>
      <c r="B32" s="324">
        <f>'Table 3.28-REC Volume'!G16</f>
        <v>4661.155133893833</v>
      </c>
      <c r="C32" s="241" t="s">
        <v>243</v>
      </c>
      <c r="D32" s="83">
        <f>F32/B32</f>
        <v>0</v>
      </c>
      <c r="E32" s="18"/>
      <c r="F32" s="113">
        <v>0</v>
      </c>
      <c r="G32" s="18"/>
      <c r="H32" s="358">
        <f>B32/$B$48</f>
        <v>0.005397023808317445</v>
      </c>
      <c r="I32" s="18"/>
      <c r="J32" s="22">
        <f>D32*H32</f>
        <v>0</v>
      </c>
    </row>
    <row r="33" spans="1:10" ht="12.75" customHeight="1">
      <c r="A33" s="239" t="s">
        <v>499</v>
      </c>
      <c r="B33" s="6">
        <v>0</v>
      </c>
      <c r="D33" s="83">
        <v>0</v>
      </c>
      <c r="F33" s="175">
        <v>0</v>
      </c>
      <c r="G33" s="18"/>
      <c r="H33" s="358">
        <f>B33/$B$48</f>
        <v>0</v>
      </c>
      <c r="I33" s="18"/>
      <c r="J33" s="22">
        <f>D33*H33</f>
        <v>0</v>
      </c>
    </row>
    <row r="34" spans="1:10" ht="12.75" customHeight="1">
      <c r="A34" s="239" t="s">
        <v>676</v>
      </c>
      <c r="B34" s="324">
        <f>'Table 3.28-REC Volume'!H16</f>
        <v>6991.73270084075</v>
      </c>
      <c r="C34" s="241" t="s">
        <v>243</v>
      </c>
      <c r="D34" s="83">
        <f>F34/B34</f>
        <v>0.027469130282300084</v>
      </c>
      <c r="E34" s="285"/>
      <c r="F34" s="175">
        <f>SUM('Table 3.26-REC Detail NonACS'!K16)</f>
        <v>192.0568164584124</v>
      </c>
      <c r="G34" s="241" t="s">
        <v>582</v>
      </c>
      <c r="H34" s="358">
        <f>B34/$B$48</f>
        <v>0.008095535712476168</v>
      </c>
      <c r="I34" s="18"/>
      <c r="J34" s="22">
        <f>D34*H34</f>
        <v>0.00022237732519102087</v>
      </c>
    </row>
    <row r="35" spans="1:10" ht="12.75" customHeight="1">
      <c r="A35" s="239" t="s">
        <v>489</v>
      </c>
      <c r="B35" s="324">
        <v>177.4551446913897</v>
      </c>
      <c r="C35" s="327" t="s">
        <v>593</v>
      </c>
      <c r="D35" s="83">
        <f>'Table 3.21-CFS CIOSS Rejs'!I76</f>
        <v>0.01905192855230127</v>
      </c>
      <c r="E35" s="12" t="s">
        <v>587</v>
      </c>
      <c r="F35" s="165">
        <f>B35*D35</f>
        <v>3.3808627378986404</v>
      </c>
      <c r="G35" s="18"/>
      <c r="H35" s="358">
        <f>B35/$B$48</f>
        <v>0.0002054704495552328</v>
      </c>
      <c r="I35" s="18"/>
      <c r="J35" s="22">
        <f>D35*H35</f>
        <v>3.914608324535518E-06</v>
      </c>
    </row>
    <row r="36" spans="1:10" ht="12.75" customHeight="1">
      <c r="A36" s="100" t="s">
        <v>102</v>
      </c>
      <c r="B36" s="324">
        <f>B31</f>
        <v>11830.342979425972</v>
      </c>
      <c r="C36" s="18"/>
      <c r="D36" s="83">
        <f>F36/B36</f>
        <v>0.06397479978632495</v>
      </c>
      <c r="E36" s="18"/>
      <c r="F36" s="113">
        <f>SUM(F31:F35)</f>
        <v>756.8438235123316</v>
      </c>
      <c r="G36" s="18"/>
      <c r="H36" s="142"/>
      <c r="I36" s="18"/>
      <c r="J36" s="552">
        <f>SUM(J31:J35)</f>
        <v>0.0008763287248201461</v>
      </c>
    </row>
    <row r="37" spans="1:10" ht="4.5" customHeight="1">
      <c r="A37" s="100"/>
      <c r="B37" s="324"/>
      <c r="C37" s="18"/>
      <c r="D37" s="18"/>
      <c r="E37" s="18"/>
      <c r="F37" s="113"/>
      <c r="G37" s="18"/>
      <c r="H37" s="142"/>
      <c r="I37" s="18"/>
      <c r="J37" s="18"/>
    </row>
    <row r="38" spans="1:10" ht="12.75" customHeight="1">
      <c r="A38" s="15" t="s">
        <v>646</v>
      </c>
      <c r="B38" s="324"/>
      <c r="C38" s="18"/>
      <c r="D38" s="18"/>
      <c r="E38" s="18"/>
      <c r="F38" s="113"/>
      <c r="G38" s="18"/>
      <c r="H38" s="142"/>
      <c r="I38" s="18"/>
      <c r="J38" s="18"/>
    </row>
    <row r="39" spans="1:10" ht="12.75" customHeight="1">
      <c r="A39" s="353" t="s">
        <v>307</v>
      </c>
      <c r="B39" s="324">
        <f>'Table 3.16-Route UAA PARS'!D101</f>
        <v>170176.26437892002</v>
      </c>
      <c r="C39" s="285" t="s">
        <v>590</v>
      </c>
      <c r="D39" s="83">
        <f>F39/B39</f>
        <v>0.06936411504066294</v>
      </c>
      <c r="E39" s="18"/>
      <c r="F39" s="113">
        <f>'Table 3.16-Route UAA PARS'!J101</f>
        <v>11804.125979569679</v>
      </c>
      <c r="G39" s="285" t="s">
        <v>590</v>
      </c>
      <c r="H39" s="358">
        <f aca="true" t="shared" si="3" ref="H39:H45">B39/$B$48</f>
        <v>0.19704243349143902</v>
      </c>
      <c r="I39" s="18"/>
      <c r="J39" s="22">
        <f aca="true" t="shared" si="4" ref="J39:J45">D39*H39</f>
        <v>0.013667674024592352</v>
      </c>
    </row>
    <row r="40" spans="1:10" ht="12.75" customHeight="1">
      <c r="A40" s="353" t="s">
        <v>495</v>
      </c>
      <c r="B40" s="324">
        <f>'Table 3.18-Nixie UAA'!D11</f>
        <v>170176.26437892005</v>
      </c>
      <c r="C40" s="285" t="s">
        <v>591</v>
      </c>
      <c r="D40" s="83">
        <f>F40/B40</f>
        <v>0.006032795169194398</v>
      </c>
      <c r="E40" s="18"/>
      <c r="F40" s="113">
        <f>'Table 3.18-Nixie UAA'!I11</f>
        <v>1026.6385456566975</v>
      </c>
      <c r="G40" s="285" t="s">
        <v>591</v>
      </c>
      <c r="H40" s="358">
        <f t="shared" si="3"/>
        <v>0.19704243349143907</v>
      </c>
      <c r="I40" s="18"/>
      <c r="J40" s="22">
        <f t="shared" si="4"/>
        <v>0.001188716640893462</v>
      </c>
    </row>
    <row r="41" spans="1:10" ht="12.75" customHeight="1">
      <c r="A41" s="353" t="s">
        <v>481</v>
      </c>
      <c r="B41" s="324">
        <f>SUM('Table 3.24-CIOSS Detail'!E31,'Table 3.24-CIOSS Detail'!E37)</f>
        <v>170176.26437892005</v>
      </c>
      <c r="C41" s="241" t="s">
        <v>242</v>
      </c>
      <c r="D41" s="83">
        <f>F41/B41</f>
        <v>0.02462118552889961</v>
      </c>
      <c r="E41" s="18"/>
      <c r="F41" s="113">
        <f>SUM('Table 3.24-CIOSS Detail'!K31,'Table 3.24-CIOSS Detail'!K37)</f>
        <v>4189.94137788846</v>
      </c>
      <c r="G41" s="241" t="s">
        <v>242</v>
      </c>
      <c r="H41" s="358">
        <f t="shared" si="3"/>
        <v>0.19704243349143907</v>
      </c>
      <c r="I41" s="18"/>
      <c r="J41" s="22">
        <f t="shared" si="4"/>
        <v>0.0048514183120585835</v>
      </c>
    </row>
    <row r="42" spans="1:10" ht="12.75" customHeight="1">
      <c r="A42" s="353" t="s">
        <v>95</v>
      </c>
      <c r="B42" s="324">
        <f>SUM('Table 3.28-REC Volume'!G31,'Table 3.28-REC Volume'!G37)</f>
        <v>65982.76074042264</v>
      </c>
      <c r="C42" s="241" t="s">
        <v>243</v>
      </c>
      <c r="D42" s="83">
        <f>F42/B42</f>
        <v>0</v>
      </c>
      <c r="E42" s="18"/>
      <c r="F42" s="113">
        <v>0</v>
      </c>
      <c r="G42" s="18"/>
      <c r="H42" s="358">
        <f t="shared" si="3"/>
        <v>0.07639963065487743</v>
      </c>
      <c r="I42" s="18"/>
      <c r="J42" s="22">
        <f t="shared" si="4"/>
        <v>0</v>
      </c>
    </row>
    <row r="43" spans="1:10" ht="12.75" customHeight="1">
      <c r="A43" s="239" t="s">
        <v>499</v>
      </c>
      <c r="B43" s="6">
        <v>0</v>
      </c>
      <c r="C43" s="241"/>
      <c r="D43" s="83">
        <v>0</v>
      </c>
      <c r="F43" s="175">
        <v>0</v>
      </c>
      <c r="G43" s="18"/>
      <c r="H43" s="358">
        <f t="shared" si="3"/>
        <v>0</v>
      </c>
      <c r="I43" s="18"/>
      <c r="J43" s="22">
        <f t="shared" si="4"/>
        <v>0</v>
      </c>
    </row>
    <row r="44" spans="1:10" ht="12.75" customHeight="1">
      <c r="A44" s="239" t="s">
        <v>676</v>
      </c>
      <c r="B44" s="324">
        <f>SUM('Table 3.28-REC Volume'!H31,'Table 3.28-REC Volume'!H37)</f>
        <v>101640.8596728136</v>
      </c>
      <c r="C44" s="241" t="s">
        <v>243</v>
      </c>
      <c r="D44" s="83">
        <f>F44/B44</f>
        <v>0.02746913028230008</v>
      </c>
      <c r="E44" s="285"/>
      <c r="F44" s="165">
        <f>SUM('Table 3.26-REC Detail NonACS'!K31,'Table 3.26-REC Detail NonACS'!K37)</f>
        <v>2791.986016357497</v>
      </c>
      <c r="G44" s="241" t="s">
        <v>582</v>
      </c>
      <c r="H44" s="358">
        <f t="shared" si="3"/>
        <v>0.11768716633419005</v>
      </c>
      <c r="I44" s="18"/>
      <c r="J44" s="22">
        <f t="shared" si="4"/>
        <v>0.0032327641045885864</v>
      </c>
    </row>
    <row r="45" spans="1:10" ht="12.75" customHeight="1">
      <c r="A45" s="239" t="s">
        <v>489</v>
      </c>
      <c r="B45" s="324">
        <f>'Table 3.21-CFS CIOSS Rejs'!B76-B35</f>
        <v>2552.6439656838</v>
      </c>
      <c r="C45" s="327" t="s">
        <v>594</v>
      </c>
      <c r="D45" s="83">
        <f>'Table 3.21-CFS CIOSS Rejs'!I76</f>
        <v>0.01905192855230127</v>
      </c>
      <c r="E45" s="12" t="s">
        <v>587</v>
      </c>
      <c r="F45" s="165">
        <f>B45*D45</f>
        <v>48.63279045367074</v>
      </c>
      <c r="G45" s="18"/>
      <c r="H45" s="358">
        <f t="shared" si="3"/>
        <v>0.002955636502371585</v>
      </c>
      <c r="I45" s="18"/>
      <c r="J45" s="22">
        <f t="shared" si="4"/>
        <v>5.631057546975706E-05</v>
      </c>
    </row>
    <row r="46" spans="1:10" ht="12.75" customHeight="1">
      <c r="A46" s="100" t="s">
        <v>102</v>
      </c>
      <c r="B46" s="324">
        <f>B39</f>
        <v>170176.26437892002</v>
      </c>
      <c r="C46" s="18"/>
      <c r="D46" s="83">
        <f>F46/B46</f>
        <v>0.11671031082044513</v>
      </c>
      <c r="E46" s="18"/>
      <c r="F46" s="113">
        <f>SUM(F39:F45)</f>
        <v>19861.324709926</v>
      </c>
      <c r="G46" s="18"/>
      <c r="H46" s="142"/>
      <c r="I46" s="18"/>
      <c r="J46" s="552">
        <f>SUM(J39:J45)</f>
        <v>0.022996883657602742</v>
      </c>
    </row>
    <row r="47" spans="1:10" ht="4.5" customHeight="1">
      <c r="A47" s="100"/>
      <c r="B47" s="324"/>
      <c r="C47" s="18"/>
      <c r="D47" s="18"/>
      <c r="E47" s="18"/>
      <c r="F47" s="113"/>
      <c r="G47" s="18"/>
      <c r="H47" s="142"/>
      <c r="I47" s="18"/>
      <c r="J47" s="18"/>
    </row>
    <row r="48" spans="1:10" ht="12.75">
      <c r="A48" s="91" t="s">
        <v>504</v>
      </c>
      <c r="B48" s="393">
        <f>SUM(B10,B18,B28,B36,B46)</f>
        <v>863652.8759999999</v>
      </c>
      <c r="C48" s="18"/>
      <c r="D48" s="83"/>
      <c r="E48" s="18"/>
      <c r="F48" s="510">
        <f>SUM(F10,F18,F28,F36,F46)</f>
        <v>75992.90962504553</v>
      </c>
      <c r="G48" s="18"/>
      <c r="H48" s="142"/>
      <c r="I48" s="18"/>
      <c r="J48" s="413">
        <f>SUM(J10,J18,J28,J36,J46)</f>
        <v>0.08799010775834612</v>
      </c>
    </row>
    <row r="49" spans="1:10" ht="12.75" hidden="1">
      <c r="A49" s="5"/>
      <c r="B49" s="240"/>
      <c r="F49" s="359"/>
      <c r="H49" s="6"/>
      <c r="J49" s="6"/>
    </row>
    <row r="50" spans="1:11" ht="12.75" hidden="1">
      <c r="A50" s="23" t="s">
        <v>191</v>
      </c>
      <c r="B50" s="143">
        <f>B5-SUM(B6:B9)</f>
        <v>0</v>
      </c>
      <c r="G50" s="482" t="s">
        <v>311</v>
      </c>
      <c r="H50" s="6">
        <f>SUM('Table 3.16-Route UAA PARS'!J101,'Table 3.16-Route UAA PARS'!J108)</f>
        <v>13749.559971562994</v>
      </c>
      <c r="J50" s="6">
        <f>SUM(F21,F39)</f>
        <v>13749.559971562994</v>
      </c>
      <c r="K50" s="143">
        <f aca="true" t="shared" si="5" ref="K50:K55">H50-J50</f>
        <v>0</v>
      </c>
    </row>
    <row r="51" spans="1:11" ht="12.75" hidden="1">
      <c r="A51" s="5"/>
      <c r="B51" s="143">
        <f>B13-SUM(B14:B17)</f>
        <v>0</v>
      </c>
      <c r="G51" s="46" t="s">
        <v>312</v>
      </c>
      <c r="H51" s="6">
        <f>SUM('Table 3.18-Nixie UAA'!I8,'Table 3.18-Nixie UAA'!I11,'Table 3.18-Nixie UAA'!I35,'Table 3.18-Nixie UAA'!I37)</f>
        <v>1658.9951865553558</v>
      </c>
      <c r="J51" s="6">
        <f>SUM(F9,F22,F40)</f>
        <v>1658.995186555356</v>
      </c>
      <c r="K51" s="143">
        <f t="shared" si="5"/>
        <v>0</v>
      </c>
    </row>
    <row r="52" spans="1:11" ht="12.75" hidden="1">
      <c r="A52" s="5"/>
      <c r="B52" s="143">
        <f>B28-SUM(B24:B27)</f>
        <v>0</v>
      </c>
      <c r="G52" s="46" t="s">
        <v>313</v>
      </c>
      <c r="H52" s="6">
        <f>SUM('Table 3.21-CFS CIOSS Rejs'!H19,'Table 3.21-CFS CIOSS Rejs'!H76)</f>
        <v>485.9037898742032</v>
      </c>
      <c r="J52" s="6">
        <f>SUM(F17,F27,F35,F45)</f>
        <v>485.90378987420326</v>
      </c>
      <c r="K52" s="143">
        <f t="shared" si="5"/>
        <v>0</v>
      </c>
    </row>
    <row r="53" spans="1:11" ht="12.75" hidden="1">
      <c r="A53" s="5"/>
      <c r="B53" s="143">
        <f>B31-SUM(B32:B35)</f>
        <v>0</v>
      </c>
      <c r="G53" s="483" t="s">
        <v>502</v>
      </c>
      <c r="H53" s="6">
        <f>SUM('Table 3.23-CIOSS Summary'!I6,'Table 3.23-CIOSS Summary'!I10,'Table 3.23-CIOSS Summary'!I13)</f>
        <v>36733.141402422385</v>
      </c>
      <c r="J53" s="6">
        <f>SUM(F5,F13,F23,F31,F41)</f>
        <v>36733.14140242238</v>
      </c>
      <c r="K53" s="143">
        <f t="shared" si="5"/>
        <v>0</v>
      </c>
    </row>
    <row r="54" spans="1:11" ht="12.75" hidden="1">
      <c r="A54" s="5"/>
      <c r="B54" s="143">
        <f>B41-SUM(B42:B45)</f>
        <v>0</v>
      </c>
      <c r="G54" s="483" t="s">
        <v>503</v>
      </c>
      <c r="H54" s="6">
        <f>SUM('Table 3.25-REC Summary'!K6,'Table 3.25-REC Summary'!K10,'Table 3.25-REC Summary'!K13)</f>
        <v>23365.3092746306</v>
      </c>
      <c r="J54" s="6">
        <f>SUM(F7:F8,F15:F16,F25:F26,F33:F34,F43:F44)</f>
        <v>23365.309274630596</v>
      </c>
      <c r="K54" s="143">
        <f t="shared" si="5"/>
        <v>0</v>
      </c>
    </row>
    <row r="55" spans="1:11" ht="12.75" hidden="1">
      <c r="A55" s="5"/>
      <c r="B55" s="143">
        <f>B48-SUM('Table 3.23-CIOSS Summary'!C6,'Table 3.23-CIOSS Summary'!C10,'Table 3.23-CIOSS Summary'!C13)</f>
        <v>0</v>
      </c>
      <c r="G55" s="46" t="s">
        <v>314</v>
      </c>
      <c r="H55" s="6">
        <f>SUM(H50:H54)</f>
        <v>75992.90962504555</v>
      </c>
      <c r="J55" s="6">
        <f>SUM(J50:J54)</f>
        <v>75992.90962504552</v>
      </c>
      <c r="K55" s="143">
        <f t="shared" si="5"/>
        <v>0</v>
      </c>
    </row>
    <row r="56" spans="1:8" ht="12.75">
      <c r="A56" s="283"/>
      <c r="B56" s="283"/>
      <c r="C56" s="283"/>
      <c r="D56" s="283"/>
      <c r="E56" s="283"/>
      <c r="F56" s="283"/>
      <c r="H56" s="240"/>
    </row>
    <row r="57" ht="12.75">
      <c r="A57" s="284" t="s">
        <v>235</v>
      </c>
    </row>
    <row r="58" spans="1:5" ht="12.75">
      <c r="A58" s="241" t="s">
        <v>67</v>
      </c>
      <c r="D58" s="12"/>
      <c r="E58" s="241" t="s">
        <v>73</v>
      </c>
    </row>
    <row r="59" spans="1:5" ht="12.75">
      <c r="A59" s="241" t="s">
        <v>68</v>
      </c>
      <c r="D59" s="12"/>
      <c r="E59" s="12" t="s">
        <v>619</v>
      </c>
    </row>
    <row r="60" spans="1:5" ht="12.75">
      <c r="A60" s="241" t="s">
        <v>69</v>
      </c>
      <c r="D60" s="12"/>
      <c r="E60" s="12" t="s">
        <v>74</v>
      </c>
    </row>
    <row r="61" spans="1:5" ht="12.75">
      <c r="A61" s="241" t="s">
        <v>31</v>
      </c>
      <c r="E61" s="12" t="s">
        <v>75</v>
      </c>
    </row>
    <row r="62" spans="1:5" ht="12.75">
      <c r="A62" s="241" t="s">
        <v>32</v>
      </c>
      <c r="E62" s="241" t="s">
        <v>76</v>
      </c>
    </row>
    <row r="63" spans="1:5" ht="12.75">
      <c r="A63" s="12" t="s">
        <v>70</v>
      </c>
      <c r="E63" s="241" t="s">
        <v>33</v>
      </c>
    </row>
    <row r="64" spans="1:5" ht="12.75">
      <c r="A64" s="12" t="s">
        <v>697</v>
      </c>
      <c r="E64" s="241" t="s">
        <v>34</v>
      </c>
    </row>
    <row r="65" spans="1:5" ht="12.75">
      <c r="A65" s="12" t="s">
        <v>71</v>
      </c>
      <c r="E65" s="241" t="s">
        <v>43</v>
      </c>
    </row>
    <row r="66" ht="12.75">
      <c r="A66" s="12" t="s">
        <v>72</v>
      </c>
    </row>
  </sheetData>
  <sheetProtection/>
  <printOptions horizontalCentered="1"/>
  <pageMargins left="0.75" right="0.75" top="1" bottom="1" header="0.5" footer="0.5"/>
  <pageSetup fitToHeight="1" fitToWidth="1" horizontalDpi="600" verticalDpi="600" orientation="landscape" scale="65" r:id="rId3"/>
  <headerFooter alignWithMargins="0">
    <oddFooter>&amp;L&amp;F</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K31"/>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75">
      <c r="A1" s="157" t="s">
        <v>553</v>
      </c>
      <c r="B1" s="19"/>
      <c r="C1" s="19"/>
      <c r="D1" s="19"/>
      <c r="E1" s="19"/>
      <c r="F1" s="19"/>
      <c r="G1" s="19"/>
      <c r="H1" s="19"/>
      <c r="I1" s="19"/>
      <c r="J1" s="19"/>
    </row>
    <row r="2" spans="1:10" s="13" customFormat="1" ht="15.75">
      <c r="A2" s="158" t="s">
        <v>787</v>
      </c>
      <c r="B2" s="19"/>
      <c r="C2" s="19"/>
      <c r="D2" s="19"/>
      <c r="E2" s="19"/>
      <c r="F2" s="19"/>
      <c r="G2" s="19"/>
      <c r="H2" s="19"/>
      <c r="I2" s="19"/>
      <c r="J2" s="19"/>
    </row>
    <row r="3" spans="2:10" ht="38.25">
      <c r="B3" s="168" t="s">
        <v>109</v>
      </c>
      <c r="C3" s="168"/>
      <c r="D3" s="169" t="s">
        <v>104</v>
      </c>
      <c r="E3" s="169"/>
      <c r="F3" s="168" t="s">
        <v>110</v>
      </c>
      <c r="G3" s="168"/>
      <c r="H3" s="170" t="s">
        <v>97</v>
      </c>
      <c r="I3" s="170"/>
      <c r="J3" s="171" t="s">
        <v>105</v>
      </c>
    </row>
    <row r="4" spans="1:10" ht="12.75">
      <c r="A4" s="333" t="s">
        <v>80</v>
      </c>
      <c r="E4" s="18"/>
      <c r="F4" s="113"/>
      <c r="G4" s="18"/>
      <c r="H4" s="142"/>
      <c r="I4" s="18"/>
      <c r="J4" s="18"/>
    </row>
    <row r="5" spans="1:10" ht="12.75">
      <c r="A5" s="353" t="s">
        <v>307</v>
      </c>
      <c r="B5" s="6">
        <f>'Table 3.15-Route UAA NoPARS'!D111+'Table 3.16-Route UAA PARS'!D111</f>
        <v>3050551.3220238783</v>
      </c>
      <c r="C5" s="12" t="s">
        <v>240</v>
      </c>
      <c r="D5" s="83">
        <f>F5/B5</f>
        <v>0.031813407624776156</v>
      </c>
      <c r="E5" s="18"/>
      <c r="F5" s="175">
        <f>'Table 3.15-Route UAA NoPARS'!J111+'Table 3.16-Route UAA PARS'!J111</f>
        <v>97048.43268784543</v>
      </c>
      <c r="G5" s="12" t="s">
        <v>240</v>
      </c>
      <c r="H5" s="142">
        <f>B5/$B$20</f>
        <v>0.9637914994409599</v>
      </c>
      <c r="I5" s="18"/>
      <c r="J5" s="552">
        <f>D5*H5</f>
        <v>0.030661491837009478</v>
      </c>
    </row>
    <row r="6" spans="1:10" ht="12.75">
      <c r="A6" s="82" t="s">
        <v>487</v>
      </c>
      <c r="B6" s="6">
        <f>SUM('Table 3.18-Nixie UAA'!D20,'Table 3.18-Nixie UAA'!D29)</f>
        <v>3050551.3220238783</v>
      </c>
      <c r="C6" s="12" t="s">
        <v>241</v>
      </c>
      <c r="D6" s="83">
        <f>F6/B6</f>
        <v>0.017676816206807906</v>
      </c>
      <c r="E6" s="18"/>
      <c r="F6" s="175">
        <f>SUM('Table 3.18-Nixie UAA'!I20,'Table 3.18-Nixie UAA'!I29)</f>
        <v>53924.03504885097</v>
      </c>
      <c r="G6" s="12" t="s">
        <v>241</v>
      </c>
      <c r="H6" s="142">
        <f>B6/$B$20</f>
        <v>0.9637914994409599</v>
      </c>
      <c r="I6" s="18"/>
      <c r="J6" s="552">
        <f>D6*H6</f>
        <v>0.017036765197301653</v>
      </c>
    </row>
    <row r="7" spans="1:10" ht="12.75">
      <c r="A7" s="82" t="s">
        <v>102</v>
      </c>
      <c r="B7" s="6">
        <f>B5</f>
        <v>3050551.3220238783</v>
      </c>
      <c r="D7" s="83">
        <f>F7/B7</f>
        <v>0.049490223831584065</v>
      </c>
      <c r="E7" s="18"/>
      <c r="F7" s="113">
        <f>SUM(F5:F6)</f>
        <v>150972.46773669642</v>
      </c>
      <c r="G7" s="18"/>
      <c r="H7" s="355"/>
      <c r="I7" s="18"/>
      <c r="J7" s="552">
        <f>SUM(J5:J6)</f>
        <v>0.04769825703431113</v>
      </c>
    </row>
    <row r="8" spans="5:10" ht="4.5" customHeight="1">
      <c r="E8" s="285"/>
      <c r="F8" s="175"/>
      <c r="G8" s="18"/>
      <c r="H8" s="142"/>
      <c r="I8" s="18"/>
      <c r="J8" s="83"/>
    </row>
    <row r="9" spans="1:10" ht="12.75">
      <c r="A9" s="15" t="s">
        <v>81</v>
      </c>
      <c r="E9" s="285"/>
      <c r="F9" s="175"/>
      <c r="G9" s="18"/>
      <c r="H9" s="142"/>
      <c r="I9" s="18"/>
      <c r="J9" s="83"/>
    </row>
    <row r="10" spans="1:10" ht="12.75">
      <c r="A10" s="353" t="s">
        <v>307</v>
      </c>
      <c r="B10" s="6">
        <f>'Table 3.15-Route UAA NoPARS'!D108</f>
        <v>54898.51586879448</v>
      </c>
      <c r="C10" s="12" t="s">
        <v>242</v>
      </c>
      <c r="D10" s="83">
        <f>F10/B10</f>
        <v>0.08071294337196583</v>
      </c>
      <c r="E10" s="285"/>
      <c r="F10" s="175">
        <f>'Table 3.15-Route UAA NoPARS'!J108</f>
        <v>4431.020802522976</v>
      </c>
      <c r="G10" s="12" t="s">
        <v>242</v>
      </c>
      <c r="H10" s="142">
        <f>B10/$B$20</f>
        <v>0.01734464276810308</v>
      </c>
      <c r="I10" s="18"/>
      <c r="J10" s="552">
        <f>D10*H10</f>
        <v>0.0013999371695488805</v>
      </c>
    </row>
    <row r="11" spans="1:10" ht="12.75">
      <c r="A11" s="82" t="s">
        <v>96</v>
      </c>
      <c r="B11" s="6">
        <f>'Table 3.20-CFS Non-CIOSS'!B19</f>
        <v>54898.515868794464</v>
      </c>
      <c r="C11" s="12" t="s">
        <v>243</v>
      </c>
      <c r="D11" s="83">
        <f>F11/B11</f>
        <v>0.23654193194975762</v>
      </c>
      <c r="E11" s="18"/>
      <c r="F11" s="175">
        <f>'Table 3.20-CFS Non-CIOSS'!H19</f>
        <v>12985.801004779069</v>
      </c>
      <c r="G11" s="12" t="s">
        <v>243</v>
      </c>
      <c r="H11" s="142">
        <f>B11/$B$20</f>
        <v>0.017344642768103078</v>
      </c>
      <c r="I11" s="18"/>
      <c r="J11" s="552">
        <f>D11*H11</f>
        <v>0.004102735309345494</v>
      </c>
    </row>
    <row r="12" spans="1:10" ht="12.75">
      <c r="A12" s="100" t="s">
        <v>102</v>
      </c>
      <c r="B12" s="6">
        <f>B10</f>
        <v>54898.51586879448</v>
      </c>
      <c r="D12" s="83">
        <f>F12/B12</f>
        <v>0.31725487532172336</v>
      </c>
      <c r="E12" s="18"/>
      <c r="F12" s="113">
        <f>SUM(F10:F11)</f>
        <v>17416.821807302043</v>
      </c>
      <c r="G12" s="18"/>
      <c r="H12" s="355"/>
      <c r="I12" s="18"/>
      <c r="J12" s="552">
        <f>SUM(J10:J11)</f>
        <v>0.005502672478894375</v>
      </c>
    </row>
    <row r="13" spans="1:10" ht="4.5" customHeight="1">
      <c r="A13" s="100"/>
      <c r="E13" s="18"/>
      <c r="F13" s="113"/>
      <c r="G13" s="18"/>
      <c r="H13" s="355"/>
      <c r="I13" s="18"/>
      <c r="J13" s="18"/>
    </row>
    <row r="14" spans="1:10" ht="12.75">
      <c r="A14" s="15" t="s">
        <v>82</v>
      </c>
      <c r="E14" s="18"/>
      <c r="F14" s="113"/>
      <c r="G14" s="18"/>
      <c r="H14" s="355"/>
      <c r="I14" s="18"/>
      <c r="J14" s="18"/>
    </row>
    <row r="15" spans="1:10" ht="12.75">
      <c r="A15" s="353" t="s">
        <v>307</v>
      </c>
      <c r="B15" s="6">
        <f>'Table 3.15-Route UAA NoPARS'!D101</f>
        <v>59707.0697925764</v>
      </c>
      <c r="C15" s="12" t="s">
        <v>242</v>
      </c>
      <c r="D15" s="83">
        <f>F15/B15</f>
        <v>0.13436845952314616</v>
      </c>
      <c r="E15" s="18"/>
      <c r="F15" s="175">
        <f>'Table 3.15-Route UAA NoPARS'!J101</f>
        <v>8022.746990669466</v>
      </c>
      <c r="G15" s="12" t="s">
        <v>242</v>
      </c>
      <c r="H15" s="142">
        <f>B15/$B$20</f>
        <v>0.018863857790936984</v>
      </c>
      <c r="I15" s="18"/>
      <c r="J15" s="552">
        <f>D15*H15</f>
        <v>0.0025347075120319014</v>
      </c>
    </row>
    <row r="16" spans="1:10" ht="12.75">
      <c r="A16" s="353" t="s">
        <v>309</v>
      </c>
      <c r="B16" s="6">
        <v>0</v>
      </c>
      <c r="C16" s="12" t="s">
        <v>241</v>
      </c>
      <c r="D16" s="83">
        <v>0</v>
      </c>
      <c r="E16" s="18"/>
      <c r="F16" s="175">
        <v>0</v>
      </c>
      <c r="G16" s="12" t="s">
        <v>241</v>
      </c>
      <c r="H16" s="142">
        <f>B16/$B$20</f>
        <v>0</v>
      </c>
      <c r="I16" s="18"/>
      <c r="J16" s="552">
        <f>D16*H16</f>
        <v>0</v>
      </c>
    </row>
    <row r="17" spans="1:10" ht="12.75">
      <c r="A17" s="82" t="s">
        <v>96</v>
      </c>
      <c r="B17" s="6">
        <f>'Table 3.20-CFS Non-CIOSS'!B76</f>
        <v>59707.069792576396</v>
      </c>
      <c r="C17" s="12" t="s">
        <v>243</v>
      </c>
      <c r="D17" s="83">
        <f>F17/B17</f>
        <v>0.01905192855230128</v>
      </c>
      <c r="E17" s="18"/>
      <c r="F17" s="175">
        <f>'Table 3.20-CFS Non-CIOSS'!H76</f>
        <v>1137.5348277554315</v>
      </c>
      <c r="G17" s="12" t="s">
        <v>243</v>
      </c>
      <c r="H17" s="142">
        <f>B17/$B$20</f>
        <v>0.01886385779093698</v>
      </c>
      <c r="I17" s="18"/>
      <c r="J17" s="552">
        <f>D17*H17</f>
        <v>0.0003593928708537032</v>
      </c>
    </row>
    <row r="18" spans="1:10" ht="12.75">
      <c r="A18" s="100" t="s">
        <v>102</v>
      </c>
      <c r="B18" s="6">
        <f>B15</f>
        <v>59707.0697925764</v>
      </c>
      <c r="D18" s="83">
        <f>F18/B18</f>
        <v>0.15342038807544744</v>
      </c>
      <c r="E18" s="18"/>
      <c r="F18" s="113">
        <f>SUM(F15:F17)</f>
        <v>9160.281818424897</v>
      </c>
      <c r="G18" s="18"/>
      <c r="H18" s="355"/>
      <c r="I18" s="18"/>
      <c r="J18" s="552">
        <f>SUM(J15:J17)</f>
        <v>0.0028941003828856044</v>
      </c>
    </row>
    <row r="19" spans="1:10" ht="4.5" customHeight="1">
      <c r="A19" s="343"/>
      <c r="B19" s="324"/>
      <c r="C19" s="481"/>
      <c r="D19" s="18"/>
      <c r="E19" s="18"/>
      <c r="F19" s="113"/>
      <c r="G19" s="18"/>
      <c r="H19" s="355"/>
      <c r="I19" s="18"/>
      <c r="J19" s="18"/>
    </row>
    <row r="20" spans="1:10" ht="12.75">
      <c r="A20" s="91" t="s">
        <v>494</v>
      </c>
      <c r="B20" s="393">
        <f>SUM(B7,B12,B18)</f>
        <v>3165156.9076852496</v>
      </c>
      <c r="C20" s="18"/>
      <c r="D20" s="83"/>
      <c r="E20" s="18"/>
      <c r="F20" s="554">
        <f>SUM(F7,F12,F18)</f>
        <v>177549.57136242336</v>
      </c>
      <c r="G20" s="18"/>
      <c r="H20" s="355"/>
      <c r="I20" s="18"/>
      <c r="J20" s="555">
        <f>SUM(J7,J12,J18)</f>
        <v>0.05609502989609111</v>
      </c>
    </row>
    <row r="21" spans="1:10" ht="12.75" hidden="1">
      <c r="A21" s="5"/>
      <c r="B21" s="240"/>
      <c r="F21" s="359"/>
      <c r="H21" s="6"/>
      <c r="J21" s="6"/>
    </row>
    <row r="22" spans="1:11" ht="12.75" hidden="1">
      <c r="A22" s="23" t="s">
        <v>191</v>
      </c>
      <c r="B22" s="484"/>
      <c r="G22" s="482" t="s">
        <v>311</v>
      </c>
      <c r="H22" s="6">
        <f>SUM('Table 3.15-Route UAA NoPARS'!J101,'Table 3.15-Route UAA NoPARS'!J108,'Table 3.15-Route UAA NoPARS'!J111)+'Table 3.16-Route UAA PARS'!J111</f>
        <v>109502.20048103787</v>
      </c>
      <c r="J22" s="6">
        <f>SUM(F5,F10,F15)</f>
        <v>109502.20048103787</v>
      </c>
      <c r="K22" s="143">
        <f>H22-J22</f>
        <v>0</v>
      </c>
    </row>
    <row r="23" spans="1:11" ht="12.75" hidden="1">
      <c r="A23" s="5"/>
      <c r="B23" s="484"/>
      <c r="G23" s="46" t="s">
        <v>312</v>
      </c>
      <c r="H23" s="6">
        <f>SUM('Table 3.18-Nixie UAA'!I20,'Table 3.18-Nixie UAA'!I29)</f>
        <v>53924.03504885097</v>
      </c>
      <c r="J23" s="6">
        <f>SUM(F6,F16)</f>
        <v>53924.03504885097</v>
      </c>
      <c r="K23" s="143">
        <f>H23-J23</f>
        <v>0</v>
      </c>
    </row>
    <row r="24" spans="1:11" ht="12.75" hidden="1">
      <c r="A24" s="5"/>
      <c r="B24" s="484"/>
      <c r="G24" s="46" t="s">
        <v>313</v>
      </c>
      <c r="H24" s="6">
        <f>SUM('Table 3.20-CFS Non-CIOSS'!H19,'Table 3.20-CFS Non-CIOSS'!H76)</f>
        <v>14123.3358325345</v>
      </c>
      <c r="J24" s="6">
        <f>SUM(F11,F17)</f>
        <v>14123.3358325345</v>
      </c>
      <c r="K24" s="143">
        <f>H24-J24</f>
        <v>0</v>
      </c>
    </row>
    <row r="25" spans="1:11" ht="12.75" hidden="1">
      <c r="A25" s="5"/>
      <c r="B25" s="484"/>
      <c r="G25" s="46" t="s">
        <v>314</v>
      </c>
      <c r="H25" s="6">
        <f>SUM(H22:H24)</f>
        <v>177549.57136242333</v>
      </c>
      <c r="J25" s="6">
        <f>SUM(J22:J24)</f>
        <v>177549.57136242333</v>
      </c>
      <c r="K25" s="143">
        <f>H25-J25</f>
        <v>0</v>
      </c>
    </row>
    <row r="26" spans="1:8" ht="12.75">
      <c r="A26" s="283"/>
      <c r="B26" s="283"/>
      <c r="C26" s="283"/>
      <c r="D26" s="283"/>
      <c r="E26" s="283"/>
      <c r="F26" s="283"/>
      <c r="H26" s="240"/>
    </row>
    <row r="27" ht="12.75">
      <c r="A27" s="284" t="s">
        <v>235</v>
      </c>
    </row>
    <row r="28" spans="1:5" ht="12.75">
      <c r="A28" s="241" t="s">
        <v>83</v>
      </c>
      <c r="D28" s="12"/>
      <c r="E28" s="241" t="s">
        <v>600</v>
      </c>
    </row>
    <row r="29" spans="1:5" ht="12.75">
      <c r="A29" s="241" t="s">
        <v>84</v>
      </c>
      <c r="D29" s="12"/>
      <c r="E29" s="241" t="s">
        <v>86</v>
      </c>
    </row>
    <row r="30" spans="1:5" ht="12.75">
      <c r="A30" s="241" t="s">
        <v>35</v>
      </c>
      <c r="D30" s="12"/>
      <c r="E30" s="241" t="s">
        <v>601</v>
      </c>
    </row>
    <row r="31" ht="12.75">
      <c r="A31" s="241" t="s">
        <v>85</v>
      </c>
    </row>
  </sheetData>
  <sheetProtection/>
  <printOptions horizontalCentered="1"/>
  <pageMargins left="0.75" right="0.75" top="1" bottom="1" header="0.5" footer="0.5"/>
  <pageSetup fitToHeight="1" fitToWidth="1" horizontalDpi="600" verticalDpi="600" orientation="landscape" r:id="rId3"/>
  <headerFooter alignWithMargins="0">
    <oddFooter>&amp;L&amp;F</oddFooter>
  </headerFooter>
  <legacyDrawing r:id="rId2"/>
</worksheet>
</file>

<file path=xl/worksheets/sheet12.xml><?xml version="1.0" encoding="utf-8"?>
<worksheet xmlns="http://schemas.openxmlformats.org/spreadsheetml/2006/main" xmlns:r="http://schemas.openxmlformats.org/officeDocument/2006/relationships">
  <dimension ref="A1:T86"/>
  <sheetViews>
    <sheetView zoomScale="70" zoomScaleNormal="70" zoomScalePageLayoutView="0" workbookViewId="0" topLeftCell="A1">
      <selection activeCell="A1" sqref="A1"/>
    </sheetView>
  </sheetViews>
  <sheetFormatPr defaultColWidth="9.140625" defaultRowHeight="12.75"/>
  <cols>
    <col min="1" max="1" width="42.421875" style="11" customWidth="1"/>
    <col min="2" max="2" width="8.8515625" style="38" customWidth="1"/>
    <col min="3" max="3" width="3.421875" style="38" customWidth="1"/>
    <col min="4" max="4" width="10.7109375" style="11" customWidth="1"/>
    <col min="5" max="5" width="3.421875" style="11" customWidth="1"/>
    <col min="6" max="6" width="9.8515625" style="11" customWidth="1"/>
    <col min="7" max="7" width="3.421875" style="11" customWidth="1"/>
    <col min="8" max="8" width="10.7109375" style="11" customWidth="1"/>
    <col min="9" max="9" width="3.421875" style="11" customWidth="1"/>
    <col min="10" max="10" width="10.7109375" style="11" customWidth="1"/>
    <col min="11" max="11" width="3.421875" style="11" customWidth="1"/>
    <col min="12" max="12" width="11.7109375" style="11" customWidth="1"/>
    <col min="13" max="13" width="3.421875" style="11" customWidth="1"/>
    <col min="14" max="14" width="8.7109375" style="11" customWidth="1"/>
    <col min="15" max="15" width="3.421875" style="11" customWidth="1"/>
    <col min="16" max="16" width="14.57421875" style="11" customWidth="1"/>
    <col min="17" max="17" width="10.57421875" style="11" bestFit="1" customWidth="1"/>
    <col min="18" max="18" width="12.00390625" style="11" customWidth="1"/>
    <col min="19" max="16384" width="9.140625" style="11" customWidth="1"/>
  </cols>
  <sheetData>
    <row r="1" ht="15.75">
      <c r="A1" s="158" t="s">
        <v>554</v>
      </c>
    </row>
    <row r="2" ht="15.75">
      <c r="A2" s="158" t="s">
        <v>787</v>
      </c>
    </row>
    <row r="3" ht="4.5" customHeight="1">
      <c r="A3" s="454"/>
    </row>
    <row r="4" spans="1:3" ht="15.75">
      <c r="A4" s="158" t="s">
        <v>746</v>
      </c>
      <c r="B4" s="45"/>
      <c r="C4" s="45"/>
    </row>
    <row r="5" spans="1:16" ht="25.5">
      <c r="A5" s="15" t="s">
        <v>339</v>
      </c>
      <c r="B5" s="176" t="s">
        <v>209</v>
      </c>
      <c r="C5" s="176"/>
      <c r="D5" s="177" t="s">
        <v>245</v>
      </c>
      <c r="E5" s="177"/>
      <c r="F5" s="176" t="s">
        <v>208</v>
      </c>
      <c r="G5" s="176"/>
      <c r="H5" s="176" t="s">
        <v>109</v>
      </c>
      <c r="I5" s="176"/>
      <c r="J5" s="178" t="s">
        <v>97</v>
      </c>
      <c r="K5" s="178"/>
      <c r="L5" s="177" t="s">
        <v>140</v>
      </c>
      <c r="M5" s="48"/>
      <c r="N5" s="287" t="s">
        <v>139</v>
      </c>
      <c r="O5" s="178"/>
      <c r="P5" s="177" t="s">
        <v>221</v>
      </c>
    </row>
    <row r="6" spans="1:16" ht="12.75">
      <c r="A6" s="89" t="s">
        <v>747</v>
      </c>
      <c r="B6" s="574">
        <v>0</v>
      </c>
      <c r="C6" s="571" t="s">
        <v>238</v>
      </c>
      <c r="D6" s="54">
        <v>2.129429514370343</v>
      </c>
      <c r="E6" s="54"/>
      <c r="F6" s="180">
        <f>B6*D6</f>
        <v>0</v>
      </c>
      <c r="G6" s="180"/>
      <c r="H6" s="458">
        <f>'Table 3.38-Form 3547 Dist'!H8</f>
        <v>46581.11403027494</v>
      </c>
      <c r="I6" s="575" t="s">
        <v>241</v>
      </c>
      <c r="J6" s="576">
        <f>H6/$H$6</f>
        <v>1</v>
      </c>
      <c r="K6" s="576"/>
      <c r="L6" s="180">
        <f>J6*F6</f>
        <v>0</v>
      </c>
      <c r="M6" s="342"/>
      <c r="N6" s="342"/>
      <c r="O6" s="342"/>
      <c r="P6" s="342"/>
    </row>
    <row r="7" spans="1:18" ht="12.75">
      <c r="A7" s="21" t="s">
        <v>142</v>
      </c>
      <c r="B7" s="574">
        <f>'Table 3.40-Form Processing'!B5</f>
        <v>0.03334759082386048</v>
      </c>
      <c r="C7" s="571" t="s">
        <v>239</v>
      </c>
      <c r="D7" s="54">
        <v>1.5595101237373266</v>
      </c>
      <c r="E7" s="54"/>
      <c r="F7" s="180">
        <f>B7*D7</f>
        <v>0.0520059054920604</v>
      </c>
      <c r="G7" s="180"/>
      <c r="H7" s="458">
        <f>H6</f>
        <v>46581.11403027494</v>
      </c>
      <c r="I7" s="575" t="s">
        <v>242</v>
      </c>
      <c r="J7" s="576">
        <f>H7/$H$6</f>
        <v>1</v>
      </c>
      <c r="K7" s="571"/>
      <c r="L7" s="180">
        <f>J7*F7</f>
        <v>0.0520059054920604</v>
      </c>
      <c r="M7" s="342"/>
      <c r="N7" s="342"/>
      <c r="O7" s="342"/>
      <c r="P7" s="342"/>
      <c r="R7" s="63"/>
    </row>
    <row r="8" spans="1:16" ht="12.75">
      <c r="A8" s="21" t="s">
        <v>143</v>
      </c>
      <c r="B8" s="574">
        <v>0.18227688826802516</v>
      </c>
      <c r="C8" s="571" t="s">
        <v>240</v>
      </c>
      <c r="D8" s="54">
        <v>2.276580885233755</v>
      </c>
      <c r="E8" s="54"/>
      <c r="F8" s="180">
        <f>B8*D8</f>
        <v>0.4149680796508749</v>
      </c>
      <c r="G8" s="180"/>
      <c r="H8" s="458">
        <f>H7</f>
        <v>46581.11403027494</v>
      </c>
      <c r="I8" s="575"/>
      <c r="J8" s="576">
        <f>H8/$H$6</f>
        <v>1</v>
      </c>
      <c r="K8" s="576"/>
      <c r="L8" s="180">
        <f>J8*F8</f>
        <v>0.4149680796508749</v>
      </c>
      <c r="M8" s="342"/>
      <c r="N8" s="342"/>
      <c r="O8" s="342"/>
      <c r="P8" s="342"/>
    </row>
    <row r="9" spans="1:16" ht="12.75">
      <c r="A9" s="21" t="s">
        <v>144</v>
      </c>
      <c r="B9" s="574">
        <v>0.022858320150066516</v>
      </c>
      <c r="C9" s="571" t="s">
        <v>240</v>
      </c>
      <c r="D9" s="54">
        <v>1.359485895130023</v>
      </c>
      <c r="E9" s="54"/>
      <c r="F9" s="180">
        <f>B9*D9</f>
        <v>0.03107556383038182</v>
      </c>
      <c r="G9" s="180"/>
      <c r="H9" s="458">
        <f>H8</f>
        <v>46581.11403027494</v>
      </c>
      <c r="I9" s="575"/>
      <c r="J9" s="576">
        <f>H9/$H$6</f>
        <v>1</v>
      </c>
      <c r="K9" s="576"/>
      <c r="L9" s="180">
        <f>J9*F9</f>
        <v>0.03107556383038182</v>
      </c>
      <c r="M9" s="342"/>
      <c r="N9" s="342"/>
      <c r="O9" s="342"/>
      <c r="P9" s="342"/>
    </row>
    <row r="10" spans="1:17" ht="12.75">
      <c r="A10" s="25" t="s">
        <v>146</v>
      </c>
      <c r="B10" s="488"/>
      <c r="C10" s="488"/>
      <c r="D10" s="342"/>
      <c r="E10" s="342"/>
      <c r="F10" s="488"/>
      <c r="G10" s="488"/>
      <c r="H10" s="577"/>
      <c r="I10" s="488"/>
      <c r="J10" s="576"/>
      <c r="K10" s="576"/>
      <c r="L10" s="180">
        <f>SUM(L6:L9)</f>
        <v>0.4980495489733171</v>
      </c>
      <c r="M10" s="342"/>
      <c r="N10" s="203">
        <f>'Table 3.38-Form 3547 Dist'!I8</f>
        <v>0.7133559665496122</v>
      </c>
      <c r="O10" s="575" t="s">
        <v>241</v>
      </c>
      <c r="P10" s="180">
        <f>N10*L10</f>
        <v>0.35528661739745904</v>
      </c>
      <c r="Q10" s="53"/>
    </row>
    <row r="11" spans="2:16" ht="12.75">
      <c r="B11" s="574"/>
      <c r="C11" s="574"/>
      <c r="D11" s="342"/>
      <c r="E11" s="342"/>
      <c r="F11" s="180"/>
      <c r="G11" s="180"/>
      <c r="H11" s="578"/>
      <c r="I11" s="180"/>
      <c r="J11" s="342"/>
      <c r="K11" s="342"/>
      <c r="L11" s="342"/>
      <c r="M11" s="342"/>
      <c r="N11" s="203"/>
      <c r="O11" s="203"/>
      <c r="P11" s="342"/>
    </row>
    <row r="12" spans="1:16" ht="12.75">
      <c r="A12" s="15" t="s">
        <v>340</v>
      </c>
      <c r="B12" s="574"/>
      <c r="C12" s="574"/>
      <c r="D12" s="342"/>
      <c r="E12" s="342"/>
      <c r="F12" s="180"/>
      <c r="G12" s="180"/>
      <c r="H12" s="578"/>
      <c r="I12" s="180"/>
      <c r="J12" s="342"/>
      <c r="K12" s="342"/>
      <c r="L12" s="342"/>
      <c r="M12" s="342"/>
      <c r="N12" s="342"/>
      <c r="O12" s="342"/>
      <c r="P12" s="342"/>
    </row>
    <row r="13" spans="1:16" ht="12.75">
      <c r="A13" s="89" t="s">
        <v>747</v>
      </c>
      <c r="B13" s="574">
        <v>0</v>
      </c>
      <c r="C13" s="571" t="s">
        <v>238</v>
      </c>
      <c r="D13" s="54">
        <v>2.129429514370343</v>
      </c>
      <c r="E13" s="54"/>
      <c r="F13" s="180">
        <f>B13*D13</f>
        <v>0</v>
      </c>
      <c r="G13" s="180"/>
      <c r="H13" s="458">
        <f>'Table 3.38-Form 3547 Dist'!H9</f>
        <v>3658.1621771970977</v>
      </c>
      <c r="I13" s="575" t="s">
        <v>241</v>
      </c>
      <c r="J13" s="576">
        <f>H13/$H$13</f>
        <v>1</v>
      </c>
      <c r="K13" s="576"/>
      <c r="L13" s="180">
        <f>J13*F13</f>
        <v>0</v>
      </c>
      <c r="M13" s="342"/>
      <c r="N13" s="342"/>
      <c r="O13" s="342"/>
      <c r="P13" s="342"/>
    </row>
    <row r="14" spans="1:18" ht="12.75">
      <c r="A14" s="21" t="s">
        <v>142</v>
      </c>
      <c r="B14" s="574">
        <f>'Table 3.40-Form Processing'!B5</f>
        <v>0.03334759082386048</v>
      </c>
      <c r="C14" s="571" t="s">
        <v>239</v>
      </c>
      <c r="D14" s="54">
        <v>1.5595101237373266</v>
      </c>
      <c r="E14" s="54"/>
      <c r="F14" s="180">
        <f>B14*D14</f>
        <v>0.0520059054920604</v>
      </c>
      <c r="G14" s="180"/>
      <c r="H14" s="458">
        <f>H13</f>
        <v>3658.1621771970977</v>
      </c>
      <c r="I14" s="575" t="s">
        <v>242</v>
      </c>
      <c r="J14" s="576">
        <f>H14/$H$13</f>
        <v>1</v>
      </c>
      <c r="K14" s="571"/>
      <c r="L14" s="180">
        <f>J14*F14</f>
        <v>0.0520059054920604</v>
      </c>
      <c r="M14" s="342"/>
      <c r="N14" s="342"/>
      <c r="O14" s="342"/>
      <c r="P14" s="342"/>
      <c r="R14" s="63"/>
    </row>
    <row r="15" spans="1:16" ht="12.75" customHeight="1">
      <c r="A15" s="21" t="s">
        <v>143</v>
      </c>
      <c r="B15" s="574">
        <v>0.18227688826802516</v>
      </c>
      <c r="C15" s="571" t="s">
        <v>240</v>
      </c>
      <c r="D15" s="54">
        <v>2.276580885233755</v>
      </c>
      <c r="E15" s="54"/>
      <c r="F15" s="180">
        <f>B15*D15</f>
        <v>0.4149680796508749</v>
      </c>
      <c r="G15" s="180"/>
      <c r="H15" s="458">
        <f>H14</f>
        <v>3658.1621771970977</v>
      </c>
      <c r="I15" s="575"/>
      <c r="J15" s="576">
        <f>H15/$H$13</f>
        <v>1</v>
      </c>
      <c r="K15" s="576"/>
      <c r="L15" s="180">
        <f>J15*F15</f>
        <v>0.4149680796508749</v>
      </c>
      <c r="M15" s="342"/>
      <c r="N15" s="342"/>
      <c r="O15" s="342"/>
      <c r="P15" s="342"/>
    </row>
    <row r="16" spans="1:16" ht="12.75">
      <c r="A16" s="21" t="s">
        <v>144</v>
      </c>
      <c r="B16" s="574">
        <v>0.022858320150066516</v>
      </c>
      <c r="C16" s="571" t="s">
        <v>240</v>
      </c>
      <c r="D16" s="54">
        <v>1.359485895130023</v>
      </c>
      <c r="E16" s="54"/>
      <c r="F16" s="180">
        <f>B16*D16</f>
        <v>0.03107556383038182</v>
      </c>
      <c r="G16" s="180"/>
      <c r="H16" s="458">
        <f>H15</f>
        <v>3658.1621771970977</v>
      </c>
      <c r="I16" s="575"/>
      <c r="J16" s="576">
        <f>H16/$H$13</f>
        <v>1</v>
      </c>
      <c r="K16" s="576"/>
      <c r="L16" s="180">
        <f>J16*F16</f>
        <v>0.03107556383038182</v>
      </c>
      <c r="M16" s="342"/>
      <c r="N16" s="342"/>
      <c r="O16" s="342"/>
      <c r="P16" s="342"/>
    </row>
    <row r="17" spans="1:17" ht="12.75">
      <c r="A17" s="24" t="s">
        <v>145</v>
      </c>
      <c r="B17" s="488"/>
      <c r="C17" s="488"/>
      <c r="D17" s="342"/>
      <c r="E17" s="342"/>
      <c r="F17" s="488"/>
      <c r="G17" s="488"/>
      <c r="H17" s="577"/>
      <c r="I17" s="488"/>
      <c r="J17" s="342"/>
      <c r="K17" s="342"/>
      <c r="L17" s="180">
        <f>SUM(L13:L16)</f>
        <v>0.4980495489733171</v>
      </c>
      <c r="M17" s="342"/>
      <c r="N17" s="203">
        <f>'Table 3.38-Form 3547 Dist'!I9</f>
        <v>0.05602209972937967</v>
      </c>
      <c r="O17" s="575" t="s">
        <v>241</v>
      </c>
      <c r="P17" s="180">
        <f>N17*L17</f>
        <v>0.027901781502755733</v>
      </c>
      <c r="Q17" s="53"/>
    </row>
    <row r="18" spans="1:16" ht="12.75">
      <c r="A18" s="24"/>
      <c r="B18" s="488"/>
      <c r="C18" s="488"/>
      <c r="D18" s="342"/>
      <c r="E18" s="342"/>
      <c r="F18" s="488"/>
      <c r="G18" s="488"/>
      <c r="H18" s="577"/>
      <c r="I18" s="488"/>
      <c r="J18" s="342"/>
      <c r="K18" s="342"/>
      <c r="L18" s="180"/>
      <c r="M18" s="342"/>
      <c r="N18" s="203"/>
      <c r="O18" s="575"/>
      <c r="P18" s="180"/>
    </row>
    <row r="19" spans="1:17" ht="12.75">
      <c r="A19" s="15" t="s">
        <v>341</v>
      </c>
      <c r="B19" s="488"/>
      <c r="C19" s="488"/>
      <c r="D19" s="342"/>
      <c r="E19" s="342"/>
      <c r="F19" s="180">
        <v>0</v>
      </c>
      <c r="G19" s="488"/>
      <c r="H19" s="579">
        <f>'Table 3.38-Form 3547 Dist'!H7</f>
        <v>15059.279092458068</v>
      </c>
      <c r="I19" s="575" t="s">
        <v>241</v>
      </c>
      <c r="J19" s="576">
        <f>H19/$H$19</f>
        <v>1</v>
      </c>
      <c r="K19" s="342"/>
      <c r="L19" s="180">
        <v>0</v>
      </c>
      <c r="M19" s="342"/>
      <c r="N19" s="203">
        <f>'Table 3.38-Form 3547 Dist'!I7</f>
        <v>0.23062193372100817</v>
      </c>
      <c r="O19" s="575" t="s">
        <v>241</v>
      </c>
      <c r="P19" s="180">
        <f>N19*L19</f>
        <v>0</v>
      </c>
      <c r="Q19" s="86"/>
    </row>
    <row r="20" spans="1:16" ht="12.75">
      <c r="A20" s="48"/>
      <c r="B20" s="574"/>
      <c r="C20" s="574"/>
      <c r="D20" s="342"/>
      <c r="E20" s="342"/>
      <c r="F20" s="180"/>
      <c r="G20" s="180"/>
      <c r="H20" s="180"/>
      <c r="I20" s="180"/>
      <c r="J20" s="580"/>
      <c r="K20" s="580"/>
      <c r="L20" s="342"/>
      <c r="M20" s="342"/>
      <c r="N20" s="342"/>
      <c r="O20" s="342"/>
      <c r="P20" s="342"/>
    </row>
    <row r="21" spans="2:18" ht="12.75">
      <c r="B21" s="574"/>
      <c r="C21" s="574"/>
      <c r="D21" s="342"/>
      <c r="E21" s="342"/>
      <c r="F21" s="180"/>
      <c r="G21" s="180"/>
      <c r="H21" s="180"/>
      <c r="I21" s="180"/>
      <c r="J21" s="342"/>
      <c r="K21" s="342"/>
      <c r="L21" s="342"/>
      <c r="M21" s="342"/>
      <c r="N21" s="342"/>
      <c r="O21" s="581" t="s">
        <v>453</v>
      </c>
      <c r="P21" s="553">
        <f>P17+P10+P19</f>
        <v>0.3831883989002148</v>
      </c>
      <c r="Q21" s="63"/>
      <c r="R21" s="63"/>
    </row>
    <row r="22" spans="1:17" ht="12.75">
      <c r="A22" s="15"/>
      <c r="B22" s="574"/>
      <c r="C22" s="574"/>
      <c r="D22" s="342"/>
      <c r="E22" s="342"/>
      <c r="F22" s="180"/>
      <c r="G22" s="180"/>
      <c r="H22" s="180"/>
      <c r="I22" s="180"/>
      <c r="J22" s="342"/>
      <c r="K22" s="342"/>
      <c r="L22" s="342"/>
      <c r="M22" s="342"/>
      <c r="N22" s="342"/>
      <c r="O22" s="342"/>
      <c r="P22" s="180"/>
      <c r="Q22" s="63"/>
    </row>
    <row r="23" spans="1:17" ht="15.75">
      <c r="A23" s="158" t="s">
        <v>759</v>
      </c>
      <c r="B23" s="574"/>
      <c r="C23" s="574"/>
      <c r="D23" s="342"/>
      <c r="E23" s="342"/>
      <c r="F23" s="180"/>
      <c r="G23" s="180"/>
      <c r="H23" s="180"/>
      <c r="I23" s="180"/>
      <c r="J23" s="342"/>
      <c r="K23" s="342"/>
      <c r="L23" s="342"/>
      <c r="M23" s="342"/>
      <c r="N23" s="342"/>
      <c r="O23" s="342"/>
      <c r="P23" s="180"/>
      <c r="Q23" s="63"/>
    </row>
    <row r="24" spans="1:17" ht="15.75">
      <c r="A24" s="158" t="s">
        <v>787</v>
      </c>
      <c r="B24" s="574"/>
      <c r="C24" s="574"/>
      <c r="D24" s="342"/>
      <c r="E24" s="342"/>
      <c r="F24" s="180"/>
      <c r="G24" s="140"/>
      <c r="H24" s="140"/>
      <c r="I24" s="180"/>
      <c r="J24" s="342"/>
      <c r="K24" s="342"/>
      <c r="L24" s="342"/>
      <c r="M24" s="342"/>
      <c r="N24" s="342"/>
      <c r="O24" s="342"/>
      <c r="P24" s="180"/>
      <c r="Q24" s="63"/>
    </row>
    <row r="25" spans="1:17" ht="4.5" customHeight="1">
      <c r="A25" s="15"/>
      <c r="B25" s="574"/>
      <c r="C25" s="574"/>
      <c r="D25" s="342"/>
      <c r="E25" s="342"/>
      <c r="F25" s="180"/>
      <c r="G25" s="180"/>
      <c r="H25" s="180"/>
      <c r="I25" s="180"/>
      <c r="J25" s="342"/>
      <c r="K25" s="342"/>
      <c r="L25" s="342"/>
      <c r="M25" s="342"/>
      <c r="N25" s="342"/>
      <c r="O25" s="342"/>
      <c r="P25" s="180"/>
      <c r="Q25" s="63"/>
    </row>
    <row r="26" spans="1:17" ht="15.75">
      <c r="A26" s="158" t="s">
        <v>748</v>
      </c>
      <c r="B26" s="582"/>
      <c r="C26" s="582"/>
      <c r="D26" s="140"/>
      <c r="E26" s="140"/>
      <c r="F26" s="140"/>
      <c r="G26" s="140"/>
      <c r="H26" s="140"/>
      <c r="I26" s="140"/>
      <c r="J26" s="140"/>
      <c r="K26" s="140"/>
      <c r="L26" s="140"/>
      <c r="M26" s="140"/>
      <c r="N26" s="140"/>
      <c r="O26" s="140"/>
      <c r="P26" s="140"/>
      <c r="Q26" s="63"/>
    </row>
    <row r="27" spans="1:17" ht="25.5">
      <c r="A27" s="15" t="s">
        <v>339</v>
      </c>
      <c r="B27" s="583" t="s">
        <v>209</v>
      </c>
      <c r="C27" s="583"/>
      <c r="D27" s="584" t="s">
        <v>245</v>
      </c>
      <c r="E27" s="584"/>
      <c r="F27" s="583" t="s">
        <v>208</v>
      </c>
      <c r="G27" s="583"/>
      <c r="H27" s="583" t="s">
        <v>109</v>
      </c>
      <c r="I27" s="583"/>
      <c r="J27" s="585" t="s">
        <v>97</v>
      </c>
      <c r="K27" s="585"/>
      <c r="L27" s="584" t="s">
        <v>140</v>
      </c>
      <c r="M27" s="342"/>
      <c r="N27" s="586" t="s">
        <v>139</v>
      </c>
      <c r="O27" s="585"/>
      <c r="P27" s="584" t="s">
        <v>221</v>
      </c>
      <c r="Q27" s="63"/>
    </row>
    <row r="28" spans="1:18" ht="12.75">
      <c r="A28" s="89" t="s">
        <v>141</v>
      </c>
      <c r="B28" s="574">
        <v>0.08967185076193786</v>
      </c>
      <c r="C28" s="571" t="s">
        <v>243</v>
      </c>
      <c r="D28" s="54">
        <v>1.5595101237373266</v>
      </c>
      <c r="E28" s="54"/>
      <c r="F28" s="180">
        <f>B28*D28</f>
        <v>0.13984415907750478</v>
      </c>
      <c r="G28" s="180"/>
      <c r="H28" s="458">
        <f>'Table 3.38-Form 3547 Dist'!B17</f>
        <v>5704.236707352082</v>
      </c>
      <c r="I28" s="575" t="s">
        <v>241</v>
      </c>
      <c r="J28" s="576">
        <f>H28/SUM($H$28:$H$29)</f>
        <v>0.9166327525537414</v>
      </c>
      <c r="K28" s="576"/>
      <c r="L28" s="180">
        <f>J28*F28</f>
        <v>0.12818573646377648</v>
      </c>
      <c r="M28" s="342"/>
      <c r="N28" s="342"/>
      <c r="O28" s="342"/>
      <c r="P28" s="342"/>
      <c r="Q28" s="63"/>
      <c r="R28" s="63"/>
    </row>
    <row r="29" spans="1:18" ht="12.75">
      <c r="A29" s="21" t="s">
        <v>749</v>
      </c>
      <c r="B29" s="574">
        <v>0.11688378446302461</v>
      </c>
      <c r="C29" s="575" t="s">
        <v>244</v>
      </c>
      <c r="D29" s="54">
        <v>1.4666301987498853</v>
      </c>
      <c r="E29" s="54"/>
      <c r="F29" s="180">
        <f>B29*D29</f>
        <v>0.17142528803764454</v>
      </c>
      <c r="G29" s="180"/>
      <c r="H29" s="458">
        <f>'Table 3.38-Form 3547 Dist'!E17</f>
        <v>518.7972083137746</v>
      </c>
      <c r="I29" s="575" t="s">
        <v>241</v>
      </c>
      <c r="J29" s="576">
        <f>H29/SUM($H$28:$H$29)</f>
        <v>0.08336724744625854</v>
      </c>
      <c r="K29" s="576"/>
      <c r="L29" s="180">
        <f>J29*F29</f>
        <v>0.014291254406380455</v>
      </c>
      <c r="M29" s="342"/>
      <c r="N29" s="342"/>
      <c r="O29" s="342"/>
      <c r="P29" s="342"/>
      <c r="Q29" s="63"/>
      <c r="R29" s="63"/>
    </row>
    <row r="30" spans="1:18" ht="12.75">
      <c r="A30" s="89" t="s">
        <v>750</v>
      </c>
      <c r="B30" s="574">
        <f>'Table 3.40-Form Processing'!B4</f>
        <v>0.04496298045951733</v>
      </c>
      <c r="C30" s="571" t="s">
        <v>239</v>
      </c>
      <c r="D30" s="54">
        <v>1.5595101237373266</v>
      </c>
      <c r="E30" s="54"/>
      <c r="F30" s="180">
        <f>B30*D30</f>
        <v>0.07012022322002086</v>
      </c>
      <c r="G30" s="180"/>
      <c r="H30" s="458">
        <f>SUM(H28:H29)/'Table 3.40-Form Processing'!$D$4</f>
        <v>6006.743768777644</v>
      </c>
      <c r="I30" s="575" t="s">
        <v>582</v>
      </c>
      <c r="J30" s="576">
        <f>'Table 3.40-Form Processing'!D4^-1</f>
        <v>0.9652436175313581</v>
      </c>
      <c r="K30" s="571" t="s">
        <v>239</v>
      </c>
      <c r="L30" s="180">
        <f>J30*F30</f>
        <v>0.06768309792299927</v>
      </c>
      <c r="M30" s="342"/>
      <c r="N30" s="342"/>
      <c r="O30" s="342"/>
      <c r="P30" s="342"/>
      <c r="Q30" s="572"/>
      <c r="R30" s="63"/>
    </row>
    <row r="31" spans="1:18" ht="12.75">
      <c r="A31" s="89" t="s">
        <v>751</v>
      </c>
      <c r="B31" s="574">
        <v>0.3661590922265035</v>
      </c>
      <c r="C31" s="571" t="s">
        <v>240</v>
      </c>
      <c r="D31" s="54">
        <v>2.276580885233755</v>
      </c>
      <c r="E31" s="54"/>
      <c r="F31" s="180">
        <f>B31*D31</f>
        <v>0.8335907903174014</v>
      </c>
      <c r="G31" s="180"/>
      <c r="H31" s="458">
        <f>H30</f>
        <v>6006.743768777644</v>
      </c>
      <c r="I31" s="575"/>
      <c r="J31" s="576">
        <f>J30</f>
        <v>0.9652436175313581</v>
      </c>
      <c r="K31" s="576"/>
      <c r="L31" s="180">
        <f>J31*F31</f>
        <v>0.8046181899867922</v>
      </c>
      <c r="M31" s="342"/>
      <c r="N31" s="342"/>
      <c r="O31" s="342"/>
      <c r="P31" s="342"/>
      <c r="Q31" s="63"/>
      <c r="R31" s="63"/>
    </row>
    <row r="32" spans="1:18" ht="12.75">
      <c r="A32" s="89" t="s">
        <v>752</v>
      </c>
      <c r="B32" s="574">
        <v>0.022858320150066516</v>
      </c>
      <c r="C32" s="571" t="s">
        <v>240</v>
      </c>
      <c r="D32" s="54">
        <v>1.359485895130023</v>
      </c>
      <c r="E32" s="54"/>
      <c r="F32" s="180">
        <f>B32*D32</f>
        <v>0.03107556383038182</v>
      </c>
      <c r="G32" s="180"/>
      <c r="H32" s="458">
        <f>H31</f>
        <v>6006.743768777644</v>
      </c>
      <c r="I32" s="575"/>
      <c r="J32" s="576">
        <f>J31</f>
        <v>0.9652436175313581</v>
      </c>
      <c r="K32" s="576"/>
      <c r="L32" s="180">
        <f>J32*F32</f>
        <v>0.029995489648464376</v>
      </c>
      <c r="M32" s="342"/>
      <c r="N32" s="342"/>
      <c r="O32" s="342"/>
      <c r="P32" s="342"/>
      <c r="Q32" s="63"/>
      <c r="R32" s="63"/>
    </row>
    <row r="33" spans="1:17" ht="12.75">
      <c r="A33" s="25" t="s">
        <v>146</v>
      </c>
      <c r="B33" s="488"/>
      <c r="C33" s="488"/>
      <c r="D33" s="342"/>
      <c r="E33" s="342"/>
      <c r="F33" s="488"/>
      <c r="G33" s="488"/>
      <c r="H33" s="488"/>
      <c r="I33" s="488"/>
      <c r="J33" s="576"/>
      <c r="K33" s="576"/>
      <c r="L33" s="180">
        <f>SUM(L28:L32)</f>
        <v>1.0447737684284129</v>
      </c>
      <c r="M33" s="342"/>
      <c r="N33" s="203">
        <f>'Table 3.38-Form 3547 Dist'!I17</f>
        <v>0.5530084943148025</v>
      </c>
      <c r="O33" s="575" t="s">
        <v>241</v>
      </c>
      <c r="P33" s="180">
        <f>N33*L33</f>
        <v>0.5777687685781987</v>
      </c>
      <c r="Q33" s="63"/>
    </row>
    <row r="34" spans="2:17" ht="12.75">
      <c r="B34" s="574"/>
      <c r="C34" s="574"/>
      <c r="D34" s="342"/>
      <c r="E34" s="342"/>
      <c r="F34" s="180"/>
      <c r="G34" s="180"/>
      <c r="H34" s="180"/>
      <c r="I34" s="180"/>
      <c r="J34" s="342"/>
      <c r="K34" s="342"/>
      <c r="L34" s="342"/>
      <c r="M34" s="342"/>
      <c r="N34" s="203"/>
      <c r="O34" s="203"/>
      <c r="P34" s="342"/>
      <c r="Q34" s="63"/>
    </row>
    <row r="35" spans="1:17" ht="12.75">
      <c r="A35" s="15" t="s">
        <v>340</v>
      </c>
      <c r="B35" s="574"/>
      <c r="C35" s="574"/>
      <c r="D35" s="342"/>
      <c r="E35" s="342"/>
      <c r="F35" s="180"/>
      <c r="G35" s="180"/>
      <c r="H35" s="180"/>
      <c r="I35" s="180"/>
      <c r="J35" s="342"/>
      <c r="K35" s="342"/>
      <c r="L35" s="342"/>
      <c r="M35" s="342"/>
      <c r="N35" s="342"/>
      <c r="O35" s="342"/>
      <c r="P35" s="342"/>
      <c r="Q35" s="63"/>
    </row>
    <row r="36" spans="1:18" ht="12.75">
      <c r="A36" s="89" t="s">
        <v>141</v>
      </c>
      <c r="B36" s="574">
        <v>0.08967185076193786</v>
      </c>
      <c r="C36" s="571" t="s">
        <v>243</v>
      </c>
      <c r="D36" s="54">
        <v>1.5595101237373266</v>
      </c>
      <c r="E36" s="54"/>
      <c r="F36" s="180">
        <f>B36*D36</f>
        <v>0.13984415907750478</v>
      </c>
      <c r="G36" s="180"/>
      <c r="H36" s="458">
        <f>'Table 3.38-Form 3547 Dist'!B18</f>
        <v>3165.8055323493986</v>
      </c>
      <c r="I36" s="575" t="s">
        <v>241</v>
      </c>
      <c r="J36" s="576">
        <f>H36/SUM($H$36:$H$37)</f>
        <v>0.9166327525537414</v>
      </c>
      <c r="K36" s="576"/>
      <c r="L36" s="180">
        <f>J36*F36</f>
        <v>0.12818573646377648</v>
      </c>
      <c r="M36" s="342"/>
      <c r="N36" s="342"/>
      <c r="O36" s="342"/>
      <c r="P36" s="342"/>
      <c r="Q36" s="63"/>
      <c r="R36" s="63"/>
    </row>
    <row r="37" spans="1:18" ht="12.75">
      <c r="A37" s="21" t="s">
        <v>749</v>
      </c>
      <c r="B37" s="574">
        <v>0.11688378446302461</v>
      </c>
      <c r="C37" s="575" t="s">
        <v>244</v>
      </c>
      <c r="D37" s="54">
        <v>1.4666301987498853</v>
      </c>
      <c r="E37" s="54"/>
      <c r="F37" s="180">
        <f>B37*D37</f>
        <v>0.17142528803764454</v>
      </c>
      <c r="G37" s="180"/>
      <c r="H37" s="458">
        <f>'Table 3.38-Form 3547 Dist'!E18</f>
        <v>287.92828147020947</v>
      </c>
      <c r="I37" s="575" t="s">
        <v>241</v>
      </c>
      <c r="J37" s="576">
        <f>H37/SUM($H$36:$H$37)</f>
        <v>0.08336724744625854</v>
      </c>
      <c r="K37" s="576"/>
      <c r="L37" s="180">
        <f>J37*F37</f>
        <v>0.014291254406380455</v>
      </c>
      <c r="M37" s="342"/>
      <c r="N37" s="342"/>
      <c r="O37" s="342"/>
      <c r="P37" s="342"/>
      <c r="Q37" s="63"/>
      <c r="R37" s="63"/>
    </row>
    <row r="38" spans="1:18" ht="12.75">
      <c r="A38" s="89" t="s">
        <v>750</v>
      </c>
      <c r="B38" s="574">
        <f>'Table 3.40-Form Processing'!B4</f>
        <v>0.04496298045951733</v>
      </c>
      <c r="C38" s="571" t="s">
        <v>239</v>
      </c>
      <c r="D38" s="54">
        <v>1.5595101237373266</v>
      </c>
      <c r="E38" s="54"/>
      <c r="F38" s="180">
        <f>B38*D38</f>
        <v>0.07012022322002086</v>
      </c>
      <c r="G38" s="180"/>
      <c r="H38" s="458">
        <f>SUM(H36:H37)/'Table 3.40-Form Processing'!$D$4</f>
        <v>3333.694520441613</v>
      </c>
      <c r="I38" s="575" t="s">
        <v>582</v>
      </c>
      <c r="J38" s="576">
        <f>'Table 3.40-Form Processing'!D4^-1</f>
        <v>0.9652436175313581</v>
      </c>
      <c r="K38" s="571" t="s">
        <v>239</v>
      </c>
      <c r="L38" s="180">
        <f>J38*F38</f>
        <v>0.06768309792299927</v>
      </c>
      <c r="M38" s="342"/>
      <c r="N38" s="342"/>
      <c r="O38" s="342"/>
      <c r="P38" s="342"/>
      <c r="Q38" s="572"/>
      <c r="R38" s="63"/>
    </row>
    <row r="39" spans="1:18" ht="12.75">
      <c r="A39" s="89" t="s">
        <v>751</v>
      </c>
      <c r="B39" s="574">
        <v>0.3661590922265035</v>
      </c>
      <c r="C39" s="571" t="s">
        <v>240</v>
      </c>
      <c r="D39" s="54">
        <v>2.276580885233755</v>
      </c>
      <c r="E39" s="54"/>
      <c r="F39" s="180">
        <f>B39*D39</f>
        <v>0.8335907903174014</v>
      </c>
      <c r="G39" s="180"/>
      <c r="H39" s="458">
        <f>H38</f>
        <v>3333.694520441613</v>
      </c>
      <c r="I39" s="180"/>
      <c r="J39" s="576">
        <f>J38</f>
        <v>0.9652436175313581</v>
      </c>
      <c r="K39" s="576"/>
      <c r="L39" s="180">
        <f>J39*F39</f>
        <v>0.8046181899867922</v>
      </c>
      <c r="M39" s="342"/>
      <c r="N39" s="342"/>
      <c r="O39" s="342"/>
      <c r="P39" s="342"/>
      <c r="Q39" s="63"/>
      <c r="R39" s="63"/>
    </row>
    <row r="40" spans="1:18" ht="12.75">
      <c r="A40" s="89" t="s">
        <v>752</v>
      </c>
      <c r="B40" s="574">
        <v>0.022858320150066516</v>
      </c>
      <c r="C40" s="571" t="s">
        <v>240</v>
      </c>
      <c r="D40" s="54">
        <v>1.359485895130023</v>
      </c>
      <c r="E40" s="54"/>
      <c r="F40" s="180">
        <f>B40*D40</f>
        <v>0.03107556383038182</v>
      </c>
      <c r="G40" s="180"/>
      <c r="H40" s="458">
        <f>H39</f>
        <v>3333.694520441613</v>
      </c>
      <c r="I40" s="180"/>
      <c r="J40" s="576">
        <f>J39</f>
        <v>0.9652436175313581</v>
      </c>
      <c r="K40" s="576"/>
      <c r="L40" s="180">
        <f>J40*F40</f>
        <v>0.029995489648464376</v>
      </c>
      <c r="M40" s="342"/>
      <c r="N40" s="342"/>
      <c r="O40" s="342"/>
      <c r="P40" s="342"/>
      <c r="Q40" s="63"/>
      <c r="R40" s="63"/>
    </row>
    <row r="41" spans="1:17" ht="12.75">
      <c r="A41" s="24" t="s">
        <v>145</v>
      </c>
      <c r="B41" s="488"/>
      <c r="C41" s="488"/>
      <c r="D41" s="342"/>
      <c r="E41" s="342"/>
      <c r="F41" s="488"/>
      <c r="G41" s="488"/>
      <c r="H41" s="488"/>
      <c r="I41" s="488"/>
      <c r="J41" s="342"/>
      <c r="K41" s="342"/>
      <c r="L41" s="180">
        <f>SUM(L36:L40)</f>
        <v>1.0447737684284129</v>
      </c>
      <c r="M41" s="342"/>
      <c r="N41" s="203">
        <f>'Table 3.38-Form 3547 Dist'!I18</f>
        <v>0.30691527027297916</v>
      </c>
      <c r="O41" s="575" t="s">
        <v>241</v>
      </c>
      <c r="P41" s="180">
        <f>N41*L41</f>
        <v>0.32065702351132525</v>
      </c>
      <c r="Q41" s="63"/>
    </row>
    <row r="42" spans="1:16" ht="12.75">
      <c r="A42" s="24"/>
      <c r="B42" s="488"/>
      <c r="C42" s="488"/>
      <c r="D42" s="342"/>
      <c r="E42" s="342"/>
      <c r="F42" s="488"/>
      <c r="G42" s="488"/>
      <c r="H42" s="488"/>
      <c r="I42" s="488"/>
      <c r="J42" s="342"/>
      <c r="K42" s="342"/>
      <c r="L42" s="180"/>
      <c r="M42" s="342"/>
      <c r="N42" s="203"/>
      <c r="O42" s="575"/>
      <c r="P42" s="180"/>
    </row>
    <row r="43" spans="1:16" ht="12.75">
      <c r="A43" s="15" t="s">
        <v>341</v>
      </c>
      <c r="B43" s="488"/>
      <c r="C43" s="488"/>
      <c r="D43" s="342"/>
      <c r="E43" s="342"/>
      <c r="F43" s="180">
        <v>0</v>
      </c>
      <c r="G43" s="488"/>
      <c r="H43" s="587">
        <f>'Table 3.38-Form 3547 Dist'!H16</f>
        <v>1576.2853061219178</v>
      </c>
      <c r="I43" s="575" t="s">
        <v>241</v>
      </c>
      <c r="J43" s="576">
        <f>H43/$H$43</f>
        <v>1</v>
      </c>
      <c r="K43" s="342"/>
      <c r="L43" s="180">
        <v>0</v>
      </c>
      <c r="M43" s="342"/>
      <c r="N43" s="203">
        <f>'Table 3.38-Form 3547 Dist'!I16</f>
        <v>0.1400762354122183</v>
      </c>
      <c r="O43" s="575" t="s">
        <v>241</v>
      </c>
      <c r="P43" s="180">
        <f>N43*L43</f>
        <v>0</v>
      </c>
    </row>
    <row r="44" spans="1:16" ht="12.75">
      <c r="A44" s="48"/>
      <c r="B44" s="574"/>
      <c r="C44" s="574"/>
      <c r="D44" s="342"/>
      <c r="E44" s="342"/>
      <c r="F44" s="180"/>
      <c r="G44" s="180"/>
      <c r="H44" s="180"/>
      <c r="I44" s="180"/>
      <c r="J44" s="580"/>
      <c r="K44" s="580"/>
      <c r="L44" s="342"/>
      <c r="M44" s="342"/>
      <c r="N44" s="342"/>
      <c r="O44" s="342"/>
      <c r="P44" s="342"/>
    </row>
    <row r="45" spans="2:16" ht="12.75">
      <c r="B45" s="574"/>
      <c r="C45" s="574"/>
      <c r="D45" s="342"/>
      <c r="E45" s="342"/>
      <c r="F45" s="180"/>
      <c r="G45" s="180"/>
      <c r="H45" s="180"/>
      <c r="I45" s="180"/>
      <c r="J45" s="342"/>
      <c r="K45" s="342"/>
      <c r="L45" s="342"/>
      <c r="M45" s="342"/>
      <c r="N45" s="342"/>
      <c r="O45" s="581" t="s">
        <v>753</v>
      </c>
      <c r="P45" s="553">
        <f>P41+P33+P43</f>
        <v>0.898425792089524</v>
      </c>
    </row>
    <row r="46" spans="1:16" ht="12.75">
      <c r="A46" s="21"/>
      <c r="B46" s="574"/>
      <c r="C46" s="571"/>
      <c r="D46" s="54"/>
      <c r="E46" s="54"/>
      <c r="F46" s="180"/>
      <c r="G46" s="180"/>
      <c r="H46" s="197"/>
      <c r="I46" s="180"/>
      <c r="J46" s="576"/>
      <c r="K46" s="576"/>
      <c r="L46" s="180"/>
      <c r="M46" s="342"/>
      <c r="N46" s="342"/>
      <c r="O46" s="342"/>
      <c r="P46" s="342"/>
    </row>
    <row r="47" spans="1:16" ht="15.75">
      <c r="A47" s="158" t="s">
        <v>87</v>
      </c>
      <c r="B47" s="574"/>
      <c r="C47" s="574"/>
      <c r="D47" s="342"/>
      <c r="E47" s="342"/>
      <c r="F47" s="180"/>
      <c r="G47" s="180"/>
      <c r="H47" s="180"/>
      <c r="I47" s="180"/>
      <c r="J47" s="342"/>
      <c r="K47" s="342"/>
      <c r="L47" s="342"/>
      <c r="M47" s="342"/>
      <c r="N47" s="342"/>
      <c r="O47" s="342"/>
      <c r="P47" s="180"/>
    </row>
    <row r="48" spans="1:20" ht="15.75">
      <c r="A48" s="158" t="s">
        <v>787</v>
      </c>
      <c r="B48" s="574"/>
      <c r="C48" s="574"/>
      <c r="D48" s="342"/>
      <c r="E48" s="342"/>
      <c r="F48" s="180"/>
      <c r="G48" s="180"/>
      <c r="H48" s="180"/>
      <c r="I48" s="180"/>
      <c r="J48" s="342"/>
      <c r="K48" s="342"/>
      <c r="L48" s="342"/>
      <c r="M48" s="342"/>
      <c r="N48" s="342"/>
      <c r="O48" s="342"/>
      <c r="P48" s="180"/>
      <c r="S48" s="180"/>
      <c r="T48" s="180"/>
    </row>
    <row r="49" spans="1:16" ht="4.5" customHeight="1">
      <c r="A49" s="15"/>
      <c r="B49" s="574"/>
      <c r="C49" s="574"/>
      <c r="D49" s="342"/>
      <c r="E49" s="342"/>
      <c r="F49" s="180"/>
      <c r="G49" s="180"/>
      <c r="H49" s="180"/>
      <c r="I49" s="180"/>
      <c r="J49" s="342"/>
      <c r="K49" s="342"/>
      <c r="L49" s="342"/>
      <c r="M49" s="342"/>
      <c r="N49" s="342"/>
      <c r="O49" s="342"/>
      <c r="P49" s="180"/>
    </row>
    <row r="50" spans="1:16" ht="15.75">
      <c r="A50" s="158" t="s">
        <v>456</v>
      </c>
      <c r="B50" s="582"/>
      <c r="C50" s="582"/>
      <c r="D50" s="140"/>
      <c r="E50" s="140"/>
      <c r="F50" s="140"/>
      <c r="G50" s="140"/>
      <c r="H50" s="140"/>
      <c r="I50" s="140"/>
      <c r="J50" s="140"/>
      <c r="K50" s="140"/>
      <c r="L50" s="140"/>
      <c r="M50" s="140"/>
      <c r="N50" s="140"/>
      <c r="O50" s="140"/>
      <c r="P50" s="140"/>
    </row>
    <row r="51" spans="1:19" ht="25.5">
      <c r="A51" s="15" t="s">
        <v>339</v>
      </c>
      <c r="B51" s="583" t="s">
        <v>209</v>
      </c>
      <c r="C51" s="583"/>
      <c r="D51" s="584" t="s">
        <v>245</v>
      </c>
      <c r="E51" s="584"/>
      <c r="F51" s="583" t="s">
        <v>208</v>
      </c>
      <c r="G51" s="583"/>
      <c r="H51" s="583" t="s">
        <v>109</v>
      </c>
      <c r="I51" s="583"/>
      <c r="J51" s="585" t="s">
        <v>97</v>
      </c>
      <c r="K51" s="585"/>
      <c r="L51" s="584" t="s">
        <v>140</v>
      </c>
      <c r="M51" s="342"/>
      <c r="N51" s="586" t="s">
        <v>139</v>
      </c>
      <c r="O51" s="585"/>
      <c r="P51" s="584" t="s">
        <v>221</v>
      </c>
      <c r="S51" s="25"/>
    </row>
    <row r="52" spans="1:16" ht="12.75">
      <c r="A52" s="89" t="s">
        <v>754</v>
      </c>
      <c r="B52" s="574">
        <f>(B6*H6+B28*H28)/H52</f>
        <v>0.009783035888948091</v>
      </c>
      <c r="C52" s="571"/>
      <c r="D52" s="54"/>
      <c r="E52" s="54"/>
      <c r="F52" s="180">
        <f>(F6*H6+F28*H28)/H52</f>
        <v>0.015256743509700143</v>
      </c>
      <c r="G52" s="180"/>
      <c r="H52" s="458">
        <f>SUM(H6,H28)</f>
        <v>52285.35073762702</v>
      </c>
      <c r="I52" s="575" t="s">
        <v>241</v>
      </c>
      <c r="J52" s="576">
        <f>H52/SUM($H$52:$H$53)</f>
        <v>0.9901750671397084</v>
      </c>
      <c r="K52" s="576"/>
      <c r="L52" s="180">
        <f>J52*F52</f>
        <v>0.015106847029050649</v>
      </c>
      <c r="M52" s="342"/>
      <c r="N52" s="342"/>
      <c r="O52" s="342"/>
      <c r="P52" s="342"/>
    </row>
    <row r="53" spans="1:16" ht="12.75">
      <c r="A53" s="21" t="s">
        <v>749</v>
      </c>
      <c r="B53" s="574">
        <f>B29</f>
        <v>0.11688378446302461</v>
      </c>
      <c r="C53" s="571"/>
      <c r="D53" s="54"/>
      <c r="E53" s="54"/>
      <c r="F53" s="574">
        <f>F29</f>
        <v>0.17142528803764454</v>
      </c>
      <c r="G53" s="180"/>
      <c r="H53" s="458">
        <f>H29</f>
        <v>518.7972083137746</v>
      </c>
      <c r="I53" s="575"/>
      <c r="J53" s="576">
        <f>H53/SUM($H$52:$H$53)</f>
        <v>0.009824932860291633</v>
      </c>
      <c r="K53" s="576"/>
      <c r="L53" s="180">
        <f>J53*F53</f>
        <v>0.001684241945526012</v>
      </c>
      <c r="M53" s="342"/>
      <c r="N53" s="342"/>
      <c r="O53" s="342"/>
      <c r="P53" s="342"/>
    </row>
    <row r="54" spans="1:19" ht="12.75">
      <c r="A54" s="89" t="s">
        <v>750</v>
      </c>
      <c r="B54" s="574">
        <f>(B7*H7+B30*H30)/H54</f>
        <v>0.034674335670218596</v>
      </c>
      <c r="C54" s="571"/>
      <c r="D54" s="54"/>
      <c r="E54" s="54"/>
      <c r="F54" s="574">
        <f>(F7*H7+F30*H30)/H54</f>
        <v>0.0540749775115722</v>
      </c>
      <c r="G54" s="180"/>
      <c r="H54" s="458">
        <f>SUM(H7,H30)</f>
        <v>52587.85779905258</v>
      </c>
      <c r="I54" s="575"/>
      <c r="J54" s="576">
        <f>H54/SUM($H$52:$H$53)</f>
        <v>0.9959039174894055</v>
      </c>
      <c r="K54" s="571"/>
      <c r="L54" s="180">
        <f>J54*F54</f>
        <v>0.05385348194192626</v>
      </c>
      <c r="M54" s="342"/>
      <c r="N54" s="342"/>
      <c r="O54" s="342"/>
      <c r="P54" s="342"/>
      <c r="R54" s="63"/>
      <c r="S54" s="597"/>
    </row>
    <row r="55" spans="1:18" ht="12.75">
      <c r="A55" s="89" t="s">
        <v>751</v>
      </c>
      <c r="B55" s="574">
        <f>(B8*H8+B31*H31)/H55</f>
        <v>0.20328046835370395</v>
      </c>
      <c r="C55" s="571"/>
      <c r="D55" s="54"/>
      <c r="E55" s="54"/>
      <c r="F55" s="574">
        <f>(F8*H8+F31*H31)/H55</f>
        <v>0.46278442859540764</v>
      </c>
      <c r="G55" s="180"/>
      <c r="H55" s="458">
        <f>SUM(H8,H31)</f>
        <v>52587.85779905258</v>
      </c>
      <c r="I55" s="575"/>
      <c r="J55" s="576">
        <f>H55/SUM($H$52:$H$53)</f>
        <v>0.9959039174894055</v>
      </c>
      <c r="K55" s="576"/>
      <c r="L55" s="180">
        <f>J55*F55</f>
        <v>0.4608888253912625</v>
      </c>
      <c r="M55" s="342"/>
      <c r="N55" s="342"/>
      <c r="O55" s="342"/>
      <c r="P55" s="342"/>
      <c r="R55" s="63"/>
    </row>
    <row r="56" spans="1:19" ht="12.75">
      <c r="A56" s="89" t="s">
        <v>752</v>
      </c>
      <c r="B56" s="574">
        <f>(B9*H9+B32*H32)/H56</f>
        <v>0.02285832015006652</v>
      </c>
      <c r="C56" s="571"/>
      <c r="D56" s="54"/>
      <c r="E56" s="54"/>
      <c r="F56" s="574">
        <f>(F9*H9+F32*H32)/H56</f>
        <v>0.03107556383038182</v>
      </c>
      <c r="G56" s="180"/>
      <c r="H56" s="458">
        <f>SUM(H9,H32)</f>
        <v>52587.85779905258</v>
      </c>
      <c r="I56" s="575"/>
      <c r="J56" s="576">
        <f>H56/SUM($H$52:$H$53)</f>
        <v>0.9959039174894055</v>
      </c>
      <c r="K56" s="576"/>
      <c r="L56" s="180">
        <f>J56*F56</f>
        <v>0.030948275756869332</v>
      </c>
      <c r="M56" s="342"/>
      <c r="N56" s="342"/>
      <c r="O56" s="342"/>
      <c r="P56" s="342"/>
      <c r="R56" s="63"/>
      <c r="S56" s="25"/>
    </row>
    <row r="57" spans="1:16" ht="12.75">
      <c r="A57" s="25" t="s">
        <v>146</v>
      </c>
      <c r="B57" s="488"/>
      <c r="C57" s="488"/>
      <c r="D57" s="342"/>
      <c r="E57" s="342"/>
      <c r="F57" s="488"/>
      <c r="G57" s="488"/>
      <c r="H57" s="488"/>
      <c r="I57" s="488"/>
      <c r="J57" s="576"/>
      <c r="K57" s="576"/>
      <c r="L57" s="180">
        <f>SUM(L52:L56)</f>
        <v>0.5624816720646347</v>
      </c>
      <c r="M57" s="342"/>
      <c r="N57" s="203">
        <f>'Table 3.38-Form 3547 Dist'!I26</f>
        <v>0.6897849580702745</v>
      </c>
      <c r="O57" s="575" t="s">
        <v>241</v>
      </c>
      <c r="P57" s="180">
        <f>N57*L57</f>
        <v>0.387991396580402</v>
      </c>
    </row>
    <row r="58" spans="2:16" ht="12.75">
      <c r="B58" s="574"/>
      <c r="C58" s="574"/>
      <c r="D58" s="342"/>
      <c r="E58" s="342"/>
      <c r="F58" s="180"/>
      <c r="G58" s="180"/>
      <c r="H58" s="180"/>
      <c r="I58" s="180"/>
      <c r="J58" s="576"/>
      <c r="K58" s="342"/>
      <c r="L58" s="342"/>
      <c r="M58" s="342"/>
      <c r="N58" s="203"/>
      <c r="O58" s="203"/>
      <c r="P58" s="342"/>
    </row>
    <row r="59" spans="1:16" ht="12.75">
      <c r="A59" s="15" t="s">
        <v>340</v>
      </c>
      <c r="B59" s="574"/>
      <c r="C59" s="574"/>
      <c r="D59" s="342"/>
      <c r="E59" s="342"/>
      <c r="F59" s="180"/>
      <c r="G59" s="180"/>
      <c r="H59" s="180"/>
      <c r="I59" s="180"/>
      <c r="J59" s="576"/>
      <c r="K59" s="342"/>
      <c r="L59" s="342"/>
      <c r="M59" s="342"/>
      <c r="N59" s="342"/>
      <c r="O59" s="342"/>
      <c r="P59" s="342"/>
    </row>
    <row r="60" spans="1:16" ht="12.75">
      <c r="A60" s="89" t="s">
        <v>754</v>
      </c>
      <c r="B60" s="574">
        <f>(B13*H13+B36*H36)/H60</f>
        <v>0.04160096491092844</v>
      </c>
      <c r="C60" s="571"/>
      <c r="D60" s="54"/>
      <c r="E60" s="54"/>
      <c r="F60" s="180">
        <f>(F13*H13+F36*H36)/H60</f>
        <v>0.06487712593583418</v>
      </c>
      <c r="G60" s="180"/>
      <c r="H60" s="458">
        <f>SUM(H13,H36)</f>
        <v>6823.967709546496</v>
      </c>
      <c r="I60" s="575" t="s">
        <v>241</v>
      </c>
      <c r="J60" s="576">
        <f>H60/SUM($H$60:$H$61)</f>
        <v>0.9595145539482155</v>
      </c>
      <c r="K60" s="576"/>
      <c r="L60" s="180">
        <f>J60*F60</f>
        <v>0.062250546553764136</v>
      </c>
      <c r="M60" s="342"/>
      <c r="N60" s="342"/>
      <c r="O60" s="342"/>
      <c r="P60" s="342"/>
    </row>
    <row r="61" spans="1:16" ht="12.75">
      <c r="A61" s="21" t="s">
        <v>749</v>
      </c>
      <c r="B61" s="574">
        <f>B37</f>
        <v>0.11688378446302461</v>
      </c>
      <c r="C61" s="571"/>
      <c r="D61" s="54"/>
      <c r="E61" s="54"/>
      <c r="F61" s="574">
        <f>F37</f>
        <v>0.17142528803764454</v>
      </c>
      <c r="G61" s="180"/>
      <c r="H61" s="458">
        <f>H37</f>
        <v>287.92828147020947</v>
      </c>
      <c r="I61" s="575"/>
      <c r="J61" s="576">
        <f>H61/SUM($H$60:$H$61)</f>
        <v>0.04048544605178453</v>
      </c>
      <c r="K61" s="576"/>
      <c r="L61" s="180">
        <f>J61*F61</f>
        <v>0.006940229250759681</v>
      </c>
      <c r="M61" s="342"/>
      <c r="N61" s="342"/>
      <c r="O61" s="342"/>
      <c r="P61" s="342"/>
    </row>
    <row r="62" spans="1:18" ht="12.75">
      <c r="A62" s="89" t="s">
        <v>750</v>
      </c>
      <c r="B62" s="574">
        <f>(B14*H14+B38*H38)/H62</f>
        <v>0.038885770803187114</v>
      </c>
      <c r="C62" s="571"/>
      <c r="D62" s="54"/>
      <c r="E62" s="54"/>
      <c r="F62" s="574">
        <f>(F14*H14+F38*H38)/H62</f>
        <v>0.06064275323689966</v>
      </c>
      <c r="G62" s="180"/>
      <c r="H62" s="458">
        <f>SUM(H14,H38)</f>
        <v>6991.85669763871</v>
      </c>
      <c r="I62" s="575"/>
      <c r="J62" s="576">
        <f>H62/SUM($H$60:$H$61)</f>
        <v>0.9831213373297892</v>
      </c>
      <c r="K62" s="571"/>
      <c r="L62" s="180">
        <f>J62*F62</f>
        <v>0.0596191846616212</v>
      </c>
      <c r="M62" s="342"/>
      <c r="N62" s="342"/>
      <c r="O62" s="342"/>
      <c r="P62" s="342"/>
      <c r="R62" s="63"/>
    </row>
    <row r="63" spans="1:18" ht="12.75">
      <c r="A63" s="89" t="s">
        <v>751</v>
      </c>
      <c r="B63" s="574">
        <f>(B15*H15+B39*H39)/H63</f>
        <v>0.2699513247235279</v>
      </c>
      <c r="C63" s="571"/>
      <c r="D63" s="54"/>
      <c r="E63" s="54"/>
      <c r="F63" s="574">
        <f>(F15*H15+F39*H39)/H63</f>
        <v>0.6145660258091138</v>
      </c>
      <c r="G63" s="180"/>
      <c r="H63" s="458">
        <f>SUM(H15,H39)</f>
        <v>6991.85669763871</v>
      </c>
      <c r="I63" s="180"/>
      <c r="J63" s="576">
        <f>H63/SUM($H$60:$H$61)</f>
        <v>0.9831213373297892</v>
      </c>
      <c r="K63" s="576"/>
      <c r="L63" s="180">
        <f>J63*F63</f>
        <v>0.6041929731709097</v>
      </c>
      <c r="M63" s="342"/>
      <c r="N63" s="342"/>
      <c r="O63" s="342"/>
      <c r="P63" s="342"/>
      <c r="R63" s="63"/>
    </row>
    <row r="64" spans="1:18" ht="12.75">
      <c r="A64" s="89" t="s">
        <v>752</v>
      </c>
      <c r="B64" s="574">
        <f>(B16*H16+B40*H40)/H64</f>
        <v>0.022858320150066523</v>
      </c>
      <c r="C64" s="571"/>
      <c r="D64" s="54"/>
      <c r="E64" s="54"/>
      <c r="F64" s="574">
        <f>(F16*H16+F40*H40)/H64</f>
        <v>0.031075563830381823</v>
      </c>
      <c r="G64" s="180"/>
      <c r="H64" s="458">
        <f>SUM(H16,H40)</f>
        <v>6991.85669763871</v>
      </c>
      <c r="I64" s="180"/>
      <c r="J64" s="576">
        <f>H64/SUM($H$60:$H$61)</f>
        <v>0.9831213373297892</v>
      </c>
      <c r="K64" s="576"/>
      <c r="L64" s="180">
        <f>J64*F64</f>
        <v>0.030551049871202204</v>
      </c>
      <c r="M64" s="342"/>
      <c r="N64" s="342"/>
      <c r="O64" s="342"/>
      <c r="P64" s="342"/>
      <c r="R64" s="63"/>
    </row>
    <row r="65" spans="1:16" ht="12.75">
      <c r="A65" s="24" t="s">
        <v>145</v>
      </c>
      <c r="B65" s="488"/>
      <c r="C65" s="488"/>
      <c r="D65" s="342"/>
      <c r="E65" s="342"/>
      <c r="F65" s="488"/>
      <c r="G65" s="488"/>
      <c r="H65" s="488"/>
      <c r="I65" s="488"/>
      <c r="J65" s="342"/>
      <c r="K65" s="342"/>
      <c r="L65" s="180">
        <f>SUM(L60:L64)</f>
        <v>0.7635539835082569</v>
      </c>
      <c r="M65" s="342"/>
      <c r="N65" s="203">
        <f>'Table 3.38-Form 3547 Dist'!I27</f>
        <v>0.0929032863665538</v>
      </c>
      <c r="O65" s="575" t="s">
        <v>241</v>
      </c>
      <c r="P65" s="180">
        <f>N65*L65</f>
        <v>0.07093667438619049</v>
      </c>
    </row>
    <row r="66" spans="1:16" ht="12.75">
      <c r="A66" s="24"/>
      <c r="B66" s="488"/>
      <c r="C66" s="488"/>
      <c r="D66" s="342"/>
      <c r="E66" s="342"/>
      <c r="F66" s="488"/>
      <c r="G66" s="488"/>
      <c r="H66" s="488"/>
      <c r="I66" s="488"/>
      <c r="J66" s="342"/>
      <c r="K66" s="342"/>
      <c r="L66" s="180"/>
      <c r="M66" s="342"/>
      <c r="N66" s="203"/>
      <c r="O66" s="575"/>
      <c r="P66" s="180"/>
    </row>
    <row r="67" spans="1:16" ht="12.75">
      <c r="A67" s="15" t="s">
        <v>341</v>
      </c>
      <c r="B67" s="488"/>
      <c r="C67" s="488"/>
      <c r="D67" s="342"/>
      <c r="E67" s="342"/>
      <c r="F67" s="180">
        <v>0</v>
      </c>
      <c r="G67" s="488"/>
      <c r="H67" s="458">
        <f>SUM(H19,H43)</f>
        <v>16635.564398579987</v>
      </c>
      <c r="I67" s="575"/>
      <c r="J67" s="576"/>
      <c r="K67" s="342"/>
      <c r="L67" s="180">
        <v>0</v>
      </c>
      <c r="M67" s="342"/>
      <c r="N67" s="203">
        <f>'Table 3.38-Form 3547 Dist'!I25</f>
        <v>0.2173117555631718</v>
      </c>
      <c r="O67" s="575" t="s">
        <v>241</v>
      </c>
      <c r="P67" s="180">
        <f>N67*L67</f>
        <v>0</v>
      </c>
    </row>
    <row r="68" spans="1:16" ht="12.75">
      <c r="A68" s="48"/>
      <c r="B68" s="85"/>
      <c r="C68" s="85"/>
      <c r="D68" s="48"/>
      <c r="E68" s="48"/>
      <c r="F68" s="92"/>
      <c r="G68" s="92"/>
      <c r="H68" s="92"/>
      <c r="I68" s="92"/>
      <c r="J68" s="182"/>
      <c r="K68" s="182"/>
      <c r="L68" s="48"/>
      <c r="M68" s="48"/>
      <c r="N68" s="48"/>
      <c r="O68" s="48"/>
      <c r="P68" s="48"/>
    </row>
    <row r="69" spans="1:16" ht="12.75">
      <c r="A69" s="15"/>
      <c r="B69" s="85"/>
      <c r="C69" s="85"/>
      <c r="D69" s="48"/>
      <c r="E69" s="48"/>
      <c r="F69" s="92"/>
      <c r="G69" s="92"/>
      <c r="H69" s="92"/>
      <c r="I69" s="92"/>
      <c r="J69" s="48"/>
      <c r="K69" s="48"/>
      <c r="L69" s="48"/>
      <c r="M69" s="48"/>
      <c r="N69" s="48"/>
      <c r="O69" s="459" t="s">
        <v>454</v>
      </c>
      <c r="P69" s="413">
        <f>P65+P57+P67</f>
        <v>0.4589280709665925</v>
      </c>
    </row>
    <row r="70" spans="1:16" ht="12.75" hidden="1">
      <c r="A70" s="21"/>
      <c r="B70" s="85"/>
      <c r="C70" s="286"/>
      <c r="D70" s="54"/>
      <c r="E70" s="54"/>
      <c r="F70" s="92"/>
      <c r="G70" s="92"/>
      <c r="H70" s="197"/>
      <c r="I70" s="92"/>
      <c r="J70" s="179"/>
      <c r="K70" s="179"/>
      <c r="L70" s="92"/>
      <c r="M70" s="48"/>
      <c r="N70" s="48"/>
      <c r="O70" s="48"/>
      <c r="P70" s="48"/>
    </row>
    <row r="71" spans="1:16" ht="12.75" hidden="1">
      <c r="A71" s="15"/>
      <c r="B71" s="83"/>
      <c r="C71" s="83"/>
      <c r="D71" s="48"/>
      <c r="E71" s="48"/>
      <c r="F71" s="83"/>
      <c r="G71" s="83"/>
      <c r="H71" s="83"/>
      <c r="I71" s="83"/>
      <c r="J71" s="48"/>
      <c r="K71" s="48"/>
      <c r="L71" s="92"/>
      <c r="M71" s="48"/>
      <c r="N71" s="181"/>
      <c r="O71" s="181"/>
      <c r="P71" s="413"/>
    </row>
    <row r="72" spans="1:16" ht="12.75" hidden="1">
      <c r="A72" s="15"/>
      <c r="B72" s="83"/>
      <c r="C72" s="83"/>
      <c r="D72" s="48"/>
      <c r="E72" s="48"/>
      <c r="F72" s="83"/>
      <c r="G72" s="457" t="s">
        <v>451</v>
      </c>
      <c r="H72" s="414">
        <v>-8.185452315956354E-12</v>
      </c>
      <c r="I72" s="83"/>
      <c r="J72" s="48"/>
      <c r="K72" s="48"/>
      <c r="L72" s="92"/>
      <c r="M72" s="48"/>
      <c r="N72" s="181" t="s">
        <v>188</v>
      </c>
      <c r="O72" s="181"/>
      <c r="P72" s="414">
        <f>(L10*H6+L17*H13+L19*H19)-P21*SUM(H6,H13,H19)</f>
        <v>0</v>
      </c>
    </row>
    <row r="73" spans="1:16" ht="12.75" hidden="1">
      <c r="A73" s="15"/>
      <c r="B73" s="83"/>
      <c r="C73" s="83"/>
      <c r="D73" s="48"/>
      <c r="H73" s="414">
        <v>0</v>
      </c>
      <c r="I73" s="83"/>
      <c r="J73" s="48"/>
      <c r="K73" s="48"/>
      <c r="L73" s="92"/>
      <c r="M73" s="48"/>
      <c r="N73" s="181"/>
      <c r="O73" s="181"/>
      <c r="P73" s="414">
        <f>(SUM(H28:H29)*L33+SUM(H36:H37)*L41+H43*L43)-P45*SUM(H28:H29,H36:H37,H43)</f>
        <v>0</v>
      </c>
    </row>
    <row r="74" spans="1:17" ht="12.75" hidden="1">
      <c r="A74" s="15"/>
      <c r="B74" s="83"/>
      <c r="C74" s="83"/>
      <c r="D74" s="48"/>
      <c r="H74" s="414">
        <v>0</v>
      </c>
      <c r="I74" s="83"/>
      <c r="J74" s="48"/>
      <c r="K74" s="48"/>
      <c r="L74" s="92"/>
      <c r="M74" s="48"/>
      <c r="N74" s="181"/>
      <c r="O74" s="181"/>
      <c r="P74" s="414">
        <f>(SUM(H52:H53)*L57+SUM(H60:H61)*L65+H67*L67)-P69*SUM(H52:H53,H60:H61,H67)</f>
        <v>0</v>
      </c>
      <c r="Q74" s="53"/>
    </row>
    <row r="75" spans="1:16" ht="12.75" hidden="1">
      <c r="A75" s="15"/>
      <c r="B75" s="83"/>
      <c r="C75" s="83"/>
      <c r="D75" s="48"/>
      <c r="E75" s="48"/>
      <c r="F75" s="83"/>
      <c r="G75" s="83"/>
      <c r="H75" s="414">
        <v>0</v>
      </c>
      <c r="I75" s="83"/>
      <c r="J75" s="48"/>
      <c r="K75" s="48"/>
      <c r="L75" s="92"/>
      <c r="M75" s="48"/>
      <c r="N75" s="181"/>
      <c r="O75" s="181"/>
      <c r="P75" s="414">
        <f>P69-'Table 3.41-Man Notice'!F25</f>
        <v>0</v>
      </c>
    </row>
    <row r="76" spans="1:16" ht="12.75" hidden="1">
      <c r="A76" s="15"/>
      <c r="B76" s="83"/>
      <c r="C76" s="83"/>
      <c r="D76" s="48"/>
      <c r="E76" s="48"/>
      <c r="F76" s="83"/>
      <c r="G76" s="83"/>
      <c r="H76" s="414">
        <v>0</v>
      </c>
      <c r="I76" s="83"/>
      <c r="J76" s="48"/>
      <c r="K76" s="48"/>
      <c r="L76" s="92"/>
      <c r="M76" s="48"/>
      <c r="N76" s="181"/>
      <c r="O76" s="181"/>
      <c r="P76" s="461"/>
    </row>
    <row r="77" spans="1:16" ht="12.75" hidden="1">
      <c r="A77" s="15"/>
      <c r="B77" s="83"/>
      <c r="C77" s="83"/>
      <c r="D77" s="48"/>
      <c r="E77" s="48"/>
      <c r="F77" s="83"/>
      <c r="G77" s="457" t="s">
        <v>452</v>
      </c>
      <c r="H77" s="414">
        <v>-8.185452315956354E-12</v>
      </c>
      <c r="I77" s="83"/>
      <c r="J77" s="48"/>
      <c r="K77" s="48"/>
      <c r="L77" s="92"/>
      <c r="M77" s="48"/>
      <c r="N77" s="181"/>
      <c r="O77" s="181"/>
      <c r="P77" s="461"/>
    </row>
    <row r="78" spans="1:16" ht="12.75" hidden="1">
      <c r="A78" s="15"/>
      <c r="B78" s="83"/>
      <c r="C78" s="83"/>
      <c r="D78" s="48"/>
      <c r="E78" s="48"/>
      <c r="F78" s="83"/>
      <c r="G78" s="457"/>
      <c r="H78" s="414">
        <v>0</v>
      </c>
      <c r="I78" s="83"/>
      <c r="J78" s="48"/>
      <c r="K78" s="48"/>
      <c r="L78" s="92"/>
      <c r="M78" s="48"/>
      <c r="N78" s="181"/>
      <c r="O78" s="181"/>
      <c r="P78" s="461"/>
    </row>
    <row r="79" spans="1:12" ht="12.75">
      <c r="A79" s="141"/>
      <c r="B79" s="289"/>
      <c r="C79" s="289"/>
      <c r="D79" s="141"/>
      <c r="E79" s="141"/>
      <c r="F79" s="141"/>
      <c r="G79" s="141"/>
      <c r="H79" s="141"/>
      <c r="I79" s="141"/>
      <c r="J79" s="141"/>
      <c r="K79" s="141"/>
      <c r="L79" s="141"/>
    </row>
    <row r="80" spans="1:3" ht="12.75">
      <c r="A80" s="47" t="s">
        <v>235</v>
      </c>
      <c r="B80" s="45"/>
      <c r="C80" s="45"/>
    </row>
    <row r="81" spans="1:7" ht="12.75">
      <c r="A81" s="25" t="s">
        <v>788</v>
      </c>
      <c r="B81" s="145"/>
      <c r="G81" s="145" t="s">
        <v>755</v>
      </c>
    </row>
    <row r="82" spans="1:7" ht="12.75">
      <c r="A82" s="25" t="s">
        <v>756</v>
      </c>
      <c r="B82" s="407"/>
      <c r="C82" s="243"/>
      <c r="D82" s="140"/>
      <c r="G82" s="25" t="s">
        <v>789</v>
      </c>
    </row>
    <row r="83" spans="1:7" ht="12.75">
      <c r="A83" s="145" t="s">
        <v>757</v>
      </c>
      <c r="G83" s="25" t="s">
        <v>790</v>
      </c>
    </row>
    <row r="84" spans="1:7" ht="12.75">
      <c r="A84" s="25" t="s">
        <v>791</v>
      </c>
      <c r="G84" s="407" t="s">
        <v>758</v>
      </c>
    </row>
    <row r="85" ht="12.75">
      <c r="A85" s="25" t="s">
        <v>11</v>
      </c>
    </row>
    <row r="86" ht="12.75">
      <c r="A86" s="145" t="s">
        <v>88</v>
      </c>
    </row>
  </sheetData>
  <sheetProtection/>
  <printOptions horizontalCentered="1"/>
  <pageMargins left="0.75" right="0.75" top="1" bottom="1" header="0.5" footer="0.5"/>
  <pageSetup fitToHeight="3" horizontalDpi="600" verticalDpi="600" orientation="landscape" scale="81" r:id="rId3"/>
  <headerFooter alignWithMargins="0">
    <oddFooter>&amp;L&amp;F</oddFooter>
  </headerFooter>
  <rowBreaks count="2" manualBreakCount="2">
    <brk id="22" max="15" man="1"/>
    <brk id="46" max="15" man="1"/>
  </rowBreak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R27"/>
  <sheetViews>
    <sheetView zoomScale="70" zoomScaleNormal="70" zoomScalePageLayoutView="0" workbookViewId="0" topLeftCell="A1">
      <selection activeCell="A1" sqref="A1"/>
    </sheetView>
  </sheetViews>
  <sheetFormatPr defaultColWidth="9.140625" defaultRowHeight="12.75"/>
  <cols>
    <col min="1" max="1" width="42.421875" style="11" customWidth="1"/>
    <col min="2" max="2" width="8.8515625" style="38" customWidth="1"/>
    <col min="3" max="3" width="3.421875" style="38" customWidth="1"/>
    <col min="4" max="4" width="10.7109375" style="11" customWidth="1"/>
    <col min="5" max="5" width="3.421875" style="11" customWidth="1"/>
    <col min="6" max="6" width="9.8515625" style="11" customWidth="1"/>
    <col min="7" max="7" width="3.421875" style="11" customWidth="1"/>
    <col min="8" max="8" width="10.7109375" style="11" customWidth="1"/>
    <col min="9" max="9" width="3.421875" style="11" customWidth="1"/>
    <col min="10" max="10" width="10.7109375" style="11" customWidth="1"/>
    <col min="11" max="11" width="3.421875" style="11" customWidth="1"/>
    <col min="12" max="12" width="11.7109375" style="11" customWidth="1"/>
    <col min="13" max="13" width="3.421875" style="11" customWidth="1"/>
    <col min="14" max="14" width="8.7109375" style="11" customWidth="1"/>
    <col min="15" max="15" width="3.421875" style="11" customWidth="1"/>
    <col min="16" max="16" width="14.57421875" style="11" customWidth="1"/>
    <col min="17" max="17" width="10.57421875" style="11" bestFit="1" customWidth="1"/>
    <col min="18" max="18" width="12.00390625" style="11" customWidth="1"/>
    <col min="19" max="16384" width="9.140625" style="11" customWidth="1"/>
  </cols>
  <sheetData>
    <row r="1" ht="15.75">
      <c r="A1" s="158" t="s">
        <v>555</v>
      </c>
    </row>
    <row r="2" ht="15.75">
      <c r="A2" s="158" t="s">
        <v>787</v>
      </c>
    </row>
    <row r="3" ht="4.5" customHeight="1">
      <c r="A3" s="454"/>
    </row>
    <row r="4" spans="1:16" ht="12.75">
      <c r="A4" s="15"/>
      <c r="B4" s="83"/>
      <c r="C4" s="83"/>
      <c r="D4" s="48"/>
      <c r="E4" s="48"/>
      <c r="F4" s="83"/>
      <c r="G4" s="83"/>
      <c r="H4" s="83"/>
      <c r="I4" s="83"/>
      <c r="J4" s="48"/>
      <c r="K4" s="48"/>
      <c r="L4" s="92"/>
      <c r="M4" s="48"/>
      <c r="N4" s="181"/>
      <c r="O4" s="181"/>
      <c r="P4" s="413"/>
    </row>
    <row r="5" spans="1:3" ht="15.75">
      <c r="A5" s="158" t="s">
        <v>760</v>
      </c>
      <c r="B5" s="45"/>
      <c r="C5" s="45"/>
    </row>
    <row r="6" spans="1:16" ht="25.5">
      <c r="A6" s="15"/>
      <c r="B6" s="176" t="s">
        <v>209</v>
      </c>
      <c r="C6" s="176"/>
      <c r="D6" s="177" t="s">
        <v>245</v>
      </c>
      <c r="E6" s="177"/>
      <c r="F6" s="176" t="s">
        <v>208</v>
      </c>
      <c r="G6" s="176"/>
      <c r="H6" s="176" t="s">
        <v>109</v>
      </c>
      <c r="I6" s="176"/>
      <c r="J6" s="178" t="s">
        <v>97</v>
      </c>
      <c r="K6" s="178"/>
      <c r="L6" s="177" t="s">
        <v>140</v>
      </c>
      <c r="M6" s="48"/>
      <c r="N6" s="178" t="s">
        <v>139</v>
      </c>
      <c r="O6" s="178"/>
      <c r="P6" s="177" t="s">
        <v>221</v>
      </c>
    </row>
    <row r="7" spans="1:18" ht="12.75">
      <c r="A7" s="89" t="s">
        <v>141</v>
      </c>
      <c r="B7" s="85">
        <v>0.5173554579185894</v>
      </c>
      <c r="C7" s="288" t="s">
        <v>241</v>
      </c>
      <c r="D7" s="54">
        <v>1.5595101237373266</v>
      </c>
      <c r="E7" s="54"/>
      <c r="F7" s="92">
        <f>B7*D7</f>
        <v>0.8068210741948005</v>
      </c>
      <c r="G7" s="92"/>
      <c r="H7" s="135">
        <f>'Table 3.39-Form 3579 Dist'!B5</f>
        <v>7125.646450268667</v>
      </c>
      <c r="I7" s="288" t="s">
        <v>240</v>
      </c>
      <c r="J7" s="179">
        <f>H7/SUM($H$7:$H$8)</f>
        <v>0.5623906983632035</v>
      </c>
      <c r="K7" s="179"/>
      <c r="L7" s="92">
        <f>J7*F7</f>
        <v>0.45374866737056396</v>
      </c>
      <c r="M7" s="48"/>
      <c r="N7" s="48"/>
      <c r="O7" s="48"/>
      <c r="P7" s="48"/>
      <c r="R7" s="63"/>
    </row>
    <row r="8" spans="1:18" ht="12.75">
      <c r="A8" s="21" t="s">
        <v>749</v>
      </c>
      <c r="B8" s="85">
        <v>0.5173554579185894</v>
      </c>
      <c r="C8" s="288" t="s">
        <v>243</v>
      </c>
      <c r="D8" s="54">
        <v>1.4666301987498853</v>
      </c>
      <c r="E8" s="54"/>
      <c r="F8" s="92">
        <f>B8*D8</f>
        <v>0.7587691380714787</v>
      </c>
      <c r="G8" s="92"/>
      <c r="H8" s="135">
        <f>'Table 3.39-Form 3579 Dist'!B6</f>
        <v>5544.631473970359</v>
      </c>
      <c r="I8" s="288" t="s">
        <v>240</v>
      </c>
      <c r="J8" s="179">
        <f>H8/SUM($H$7:$H$8)</f>
        <v>0.43760930163679645</v>
      </c>
      <c r="K8" s="179"/>
      <c r="L8" s="92">
        <f>J8*F8</f>
        <v>0.33204443261501376</v>
      </c>
      <c r="M8" s="48"/>
      <c r="N8" s="48"/>
      <c r="O8" s="48"/>
      <c r="P8" s="48"/>
      <c r="R8" s="63"/>
    </row>
    <row r="9" spans="1:18" ht="12.75">
      <c r="A9" s="89" t="s">
        <v>750</v>
      </c>
      <c r="B9" s="85">
        <f>'Table 3.40-Form Processing'!$B$6</f>
        <v>0.18470286042058254</v>
      </c>
      <c r="C9" s="286" t="s">
        <v>238</v>
      </c>
      <c r="D9" s="54">
        <v>1.5595101237373266</v>
      </c>
      <c r="E9" s="54"/>
      <c r="F9" s="92">
        <f>B9*D9</f>
        <v>0.28804598070914084</v>
      </c>
      <c r="G9" s="92"/>
      <c r="H9" s="135">
        <f>SUM(H7:H8)/'Table 3.40-Form Processing'!D6</f>
        <v>1519.7026694292003</v>
      </c>
      <c r="I9" s="288" t="s">
        <v>242</v>
      </c>
      <c r="J9" s="179">
        <f>'Table 3.40-Form Processing'!D6^-1</f>
        <v>0.11994233106141383</v>
      </c>
      <c r="K9" s="286" t="s">
        <v>238</v>
      </c>
      <c r="L9" s="92">
        <f>J9*F9</f>
        <v>0.034548906379125395</v>
      </c>
      <c r="M9" s="48"/>
      <c r="N9" s="48"/>
      <c r="O9" s="48"/>
      <c r="P9" s="48"/>
      <c r="R9" s="63"/>
    </row>
    <row r="10" spans="1:18" ht="12.75">
      <c r="A10" s="89" t="s">
        <v>751</v>
      </c>
      <c r="B10" s="85">
        <v>0.3661590922265035</v>
      </c>
      <c r="C10" s="286" t="s">
        <v>239</v>
      </c>
      <c r="D10" s="54">
        <v>2.276580885233755</v>
      </c>
      <c r="E10" s="54"/>
      <c r="F10" s="92">
        <f>B10*D10</f>
        <v>0.8335907903174014</v>
      </c>
      <c r="G10" s="92"/>
      <c r="H10" s="197">
        <f>H9</f>
        <v>1519.7026694292003</v>
      </c>
      <c r="I10" s="92"/>
      <c r="J10" s="179">
        <f>J9</f>
        <v>0.11994233106141383</v>
      </c>
      <c r="K10" s="179"/>
      <c r="L10" s="92">
        <f>J10*F10</f>
        <v>0.09998282254199535</v>
      </c>
      <c r="M10" s="48"/>
      <c r="N10" s="48"/>
      <c r="O10" s="48"/>
      <c r="P10" s="48"/>
      <c r="R10" s="63"/>
    </row>
    <row r="11" spans="1:18" ht="12.75">
      <c r="A11" s="89" t="s">
        <v>752</v>
      </c>
      <c r="B11" s="85">
        <v>0.022858320150066516</v>
      </c>
      <c r="C11" s="286" t="s">
        <v>239</v>
      </c>
      <c r="D11" s="54">
        <v>1.359485895130023</v>
      </c>
      <c r="E11" s="54"/>
      <c r="F11" s="92">
        <f>B11*D11</f>
        <v>0.03107556383038182</v>
      </c>
      <c r="G11" s="92"/>
      <c r="H11" s="197">
        <f>H10</f>
        <v>1519.7026694292003</v>
      </c>
      <c r="I11" s="92"/>
      <c r="J11" s="179">
        <f>J9</f>
        <v>0.11994233106141383</v>
      </c>
      <c r="K11" s="179"/>
      <c r="L11" s="92">
        <f>J11*F11</f>
        <v>0.0037272755648637534</v>
      </c>
      <c r="M11" s="48"/>
      <c r="N11" s="48"/>
      <c r="O11" s="48"/>
      <c r="P11" s="48"/>
      <c r="R11" s="63"/>
    </row>
    <row r="12" spans="1:16" ht="12.75">
      <c r="A12" s="15" t="s">
        <v>761</v>
      </c>
      <c r="B12" s="83"/>
      <c r="C12" s="83"/>
      <c r="D12" s="48"/>
      <c r="E12" s="48"/>
      <c r="F12" s="83"/>
      <c r="G12" s="83"/>
      <c r="H12" s="83"/>
      <c r="I12" s="83"/>
      <c r="J12" s="48"/>
      <c r="K12" s="48"/>
      <c r="L12" s="92">
        <f>SUM(L7:L11)</f>
        <v>0.9240521044715623</v>
      </c>
      <c r="M12" s="48"/>
      <c r="N12" s="181">
        <v>1</v>
      </c>
      <c r="O12" s="181"/>
      <c r="P12" s="413">
        <f>L12*N12</f>
        <v>0.9240521044715623</v>
      </c>
    </row>
    <row r="13" spans="1:16" ht="12.75" customHeight="1" hidden="1">
      <c r="A13" s="15"/>
      <c r="B13" s="83"/>
      <c r="C13" s="83"/>
      <c r="D13" s="48"/>
      <c r="E13" s="48"/>
      <c r="F13" s="83"/>
      <c r="G13" s="83"/>
      <c r="H13" s="83"/>
      <c r="I13" s="83"/>
      <c r="J13" s="48"/>
      <c r="K13" s="48"/>
      <c r="L13" s="92"/>
      <c r="M13" s="48"/>
      <c r="N13" s="181"/>
      <c r="O13" s="181"/>
      <c r="P13" s="413"/>
    </row>
    <row r="14" spans="1:16" ht="12.75" customHeight="1" hidden="1">
      <c r="A14" s="15"/>
      <c r="B14" s="83"/>
      <c r="C14" s="83"/>
      <c r="D14" s="48"/>
      <c r="E14" s="48"/>
      <c r="F14" s="83"/>
      <c r="G14" s="457" t="s">
        <v>451</v>
      </c>
      <c r="H14" s="460">
        <v>0</v>
      </c>
      <c r="I14" s="83"/>
      <c r="J14" s="48"/>
      <c r="K14" s="48"/>
      <c r="L14" s="92"/>
      <c r="M14" s="48"/>
      <c r="N14" s="181" t="s">
        <v>188</v>
      </c>
      <c r="O14" s="181"/>
      <c r="P14" s="414">
        <f>P12-'Table 3.41-Man Notice'!F33</f>
        <v>0</v>
      </c>
    </row>
    <row r="15" spans="1:16" ht="12.75" customHeight="1" hidden="1">
      <c r="A15" s="15"/>
      <c r="B15" s="83"/>
      <c r="C15" s="83"/>
      <c r="D15" s="48"/>
      <c r="E15" s="48"/>
      <c r="F15" s="83"/>
      <c r="G15" s="457" t="s">
        <v>452</v>
      </c>
      <c r="H15" s="460">
        <v>0</v>
      </c>
      <c r="I15" s="83"/>
      <c r="J15" s="48"/>
      <c r="K15" s="48"/>
      <c r="L15" s="92"/>
      <c r="M15" s="48"/>
      <c r="N15" s="181"/>
      <c r="O15" s="181"/>
      <c r="P15" s="461"/>
    </row>
    <row r="16" spans="1:16" ht="12.75" customHeight="1" hidden="1">
      <c r="A16" s="15"/>
      <c r="B16" s="83"/>
      <c r="C16" s="83"/>
      <c r="D16" s="48"/>
      <c r="E16" s="48"/>
      <c r="F16" s="83"/>
      <c r="G16" s="457"/>
      <c r="H16" s="573"/>
      <c r="I16" s="83"/>
      <c r="J16" s="48"/>
      <c r="K16" s="48"/>
      <c r="L16" s="92"/>
      <c r="M16" s="48"/>
      <c r="N16" s="181"/>
      <c r="O16" s="181"/>
      <c r="P16" s="461"/>
    </row>
    <row r="17" spans="1:6" ht="12.75">
      <c r="A17" s="141"/>
      <c r="B17" s="289"/>
      <c r="C17" s="289"/>
      <c r="D17" s="141"/>
      <c r="E17" s="141"/>
      <c r="F17" s="141"/>
    </row>
    <row r="18" spans="1:3" ht="12.75">
      <c r="A18" s="47" t="s">
        <v>235</v>
      </c>
      <c r="B18" s="45"/>
      <c r="C18" s="45"/>
    </row>
    <row r="19" spans="1:2" ht="12.75">
      <c r="A19" s="25" t="s">
        <v>788</v>
      </c>
      <c r="B19" s="11"/>
    </row>
    <row r="20" spans="1:2" ht="12.75">
      <c r="A20" s="145" t="s">
        <v>762</v>
      </c>
      <c r="B20" s="11"/>
    </row>
    <row r="21" spans="1:2" ht="12.75">
      <c r="A21" s="25" t="s">
        <v>792</v>
      </c>
      <c r="B21" s="11"/>
    </row>
    <row r="22" ht="12.75">
      <c r="A22" s="145" t="s">
        <v>763</v>
      </c>
    </row>
    <row r="23" ht="12.75">
      <c r="A23" s="25" t="s">
        <v>793</v>
      </c>
    </row>
    <row r="24" ht="12.75">
      <c r="A24" s="407" t="s">
        <v>764</v>
      </c>
    </row>
    <row r="25" ht="12.75">
      <c r="A25" s="25" t="s">
        <v>794</v>
      </c>
    </row>
    <row r="27" ht="12.75">
      <c r="A27" s="38"/>
    </row>
  </sheetData>
  <sheetProtection/>
  <printOptions horizontalCentered="1"/>
  <pageMargins left="0.75" right="0.75" top="1" bottom="1" header="0.5" footer="0.5"/>
  <pageSetup fitToHeight="1" fitToWidth="1" horizontalDpi="600" verticalDpi="600" orientation="landscape" scale="81" r:id="rId1"/>
  <headerFooter alignWithMargins="0">
    <oddFooter>&amp;L&amp;F</oddFooter>
  </headerFooter>
</worksheet>
</file>

<file path=xl/worksheets/sheet14.xml><?xml version="1.0" encoding="utf-8"?>
<worksheet xmlns="http://schemas.openxmlformats.org/spreadsheetml/2006/main" xmlns:r="http://schemas.openxmlformats.org/officeDocument/2006/relationships">
  <dimension ref="A1:T89"/>
  <sheetViews>
    <sheetView zoomScale="70" zoomScaleNormal="70" zoomScalePageLayoutView="0" workbookViewId="0" topLeftCell="A1">
      <selection activeCell="A1" sqref="A1"/>
    </sheetView>
  </sheetViews>
  <sheetFormatPr defaultColWidth="9.140625" defaultRowHeight="12.75"/>
  <cols>
    <col min="1" max="1" width="18.140625" style="11" customWidth="1"/>
    <col min="2" max="2" width="14.8515625" style="11" customWidth="1"/>
    <col min="3" max="3" width="21.421875" style="11" customWidth="1"/>
    <col min="4" max="4" width="11.7109375" style="11" customWidth="1"/>
    <col min="5" max="5" width="3.421875" style="11" customWidth="1"/>
    <col min="6" max="6" width="11.7109375" style="11" customWidth="1"/>
    <col min="7" max="7" width="3.421875" style="11" customWidth="1"/>
    <col min="8" max="8" width="11.7109375" style="11" customWidth="1"/>
    <col min="9" max="9" width="3.421875" style="24" customWidth="1"/>
    <col min="10" max="10" width="11.7109375" style="11" customWidth="1"/>
    <col min="11" max="11" width="3.421875" style="24" customWidth="1"/>
    <col min="12" max="12" width="11.7109375" style="24" customWidth="1"/>
    <col min="13" max="13" width="3.421875" style="24" customWidth="1"/>
    <col min="14" max="14" width="11.7109375" style="11" customWidth="1"/>
    <col min="15" max="15" width="9.140625" style="11" customWidth="1"/>
    <col min="16" max="16" width="9.28125" style="11" bestFit="1" customWidth="1"/>
    <col min="17" max="16384" width="9.140625" style="11" customWidth="1"/>
  </cols>
  <sheetData>
    <row r="1" s="24" customFormat="1" ht="15.75">
      <c r="A1" s="158" t="s">
        <v>556</v>
      </c>
    </row>
    <row r="2" spans="1:14" ht="15.75" customHeight="1">
      <c r="A2" s="158" t="s">
        <v>787</v>
      </c>
      <c r="B2" s="36"/>
      <c r="C2" s="36"/>
      <c r="D2" s="36"/>
      <c r="E2" s="36"/>
      <c r="F2" s="36"/>
      <c r="G2" s="36"/>
      <c r="H2" s="36"/>
      <c r="I2" s="36"/>
      <c r="J2" s="36"/>
      <c r="K2" s="36"/>
      <c r="L2" s="36"/>
      <c r="M2" s="36"/>
      <c r="N2" s="36"/>
    </row>
    <row r="3" spans="1:14" ht="4.5" customHeight="1">
      <c r="A3" s="443"/>
      <c r="B3" s="36"/>
      <c r="C3" s="36"/>
      <c r="D3" s="36"/>
      <c r="E3" s="36"/>
      <c r="F3" s="36"/>
      <c r="G3" s="36"/>
      <c r="H3" s="36"/>
      <c r="I3" s="36"/>
      <c r="J3" s="36"/>
      <c r="K3" s="36"/>
      <c r="L3" s="36"/>
      <c r="M3" s="36"/>
      <c r="N3" s="36"/>
    </row>
    <row r="4" spans="1:15" ht="12.75" customHeight="1">
      <c r="A4" s="429" t="s">
        <v>355</v>
      </c>
      <c r="B4" s="331"/>
      <c r="C4" s="331"/>
      <c r="D4" s="23"/>
      <c r="E4" s="23"/>
      <c r="F4" s="23"/>
      <c r="G4" s="23"/>
      <c r="H4" s="23"/>
      <c r="I4" s="23"/>
      <c r="J4" s="23"/>
      <c r="K4" s="23"/>
      <c r="L4" s="23"/>
      <c r="M4" s="23"/>
      <c r="N4" s="83"/>
      <c r="O4" s="4"/>
    </row>
    <row r="5" spans="1:15" ht="25.5" customHeight="1">
      <c r="A5" s="431" t="s">
        <v>356</v>
      </c>
      <c r="B5" s="431" t="s">
        <v>357</v>
      </c>
      <c r="C5" s="432" t="s">
        <v>364</v>
      </c>
      <c r="D5" s="160" t="s">
        <v>370</v>
      </c>
      <c r="E5" s="23"/>
      <c r="F5" s="189" t="s">
        <v>249</v>
      </c>
      <c r="G5" s="160"/>
      <c r="H5" s="183" t="s">
        <v>337</v>
      </c>
      <c r="I5" s="159"/>
      <c r="J5" s="160" t="s">
        <v>246</v>
      </c>
      <c r="K5" s="159"/>
      <c r="L5" s="160" t="s">
        <v>218</v>
      </c>
      <c r="M5" s="159"/>
      <c r="N5" s="160" t="s">
        <v>338</v>
      </c>
      <c r="O5" s="4"/>
    </row>
    <row r="6" spans="1:15" ht="12.75" customHeight="1">
      <c r="A6" s="327" t="s">
        <v>358</v>
      </c>
      <c r="B6" s="18" t="s">
        <v>184</v>
      </c>
      <c r="C6" s="18" t="s">
        <v>359</v>
      </c>
      <c r="D6" s="44">
        <v>19991.34830078795</v>
      </c>
      <c r="E6" s="23"/>
      <c r="F6" s="46">
        <v>1576.15488376058</v>
      </c>
      <c r="G6" s="20"/>
      <c r="H6" s="85">
        <f aca="true" t="shared" si="0" ref="H6:H13">IF(D6&lt;&gt;0,F6/D6,0)</f>
        <v>0.07884184998659928</v>
      </c>
      <c r="I6" s="23"/>
      <c r="J6" s="54">
        <v>1.4320890261407249</v>
      </c>
      <c r="K6" s="23"/>
      <c r="L6" s="46">
        <f aca="true" t="shared" si="1" ref="L6:L12">F6*J6</f>
        <v>2257.1941125316366</v>
      </c>
      <c r="M6" s="23"/>
      <c r="N6" s="83">
        <f aca="true" t="shared" si="2" ref="N6:N13">IF(D6&lt;&gt;0,L6/D6,0)</f>
        <v>0.1129085481664421</v>
      </c>
      <c r="O6" s="4"/>
    </row>
    <row r="7" spans="1:15" ht="12.75" customHeight="1">
      <c r="A7" s="18"/>
      <c r="B7" s="327" t="s">
        <v>319</v>
      </c>
      <c r="C7" s="327" t="s">
        <v>377</v>
      </c>
      <c r="D7" s="44">
        <v>19991.34830078795</v>
      </c>
      <c r="E7" s="23"/>
      <c r="F7" s="46">
        <v>331.1029350209727</v>
      </c>
      <c r="G7" s="20"/>
      <c r="H7" s="85">
        <f t="shared" si="0"/>
        <v>0.01656231135785486</v>
      </c>
      <c r="I7" s="23"/>
      <c r="J7" s="54">
        <v>1.5595101237373266</v>
      </c>
      <c r="K7" s="23"/>
      <c r="L7" s="46">
        <f t="shared" si="1"/>
        <v>516.3583791643491</v>
      </c>
      <c r="M7" s="23"/>
      <c r="N7" s="83">
        <f t="shared" si="2"/>
        <v>0.02582909223506436</v>
      </c>
      <c r="O7" s="4"/>
    </row>
    <row r="8" spans="1:15" ht="12.75" customHeight="1">
      <c r="A8" s="18"/>
      <c r="B8" s="327"/>
      <c r="C8" s="327" t="s">
        <v>378</v>
      </c>
      <c r="D8" s="44">
        <v>19991.34830078795</v>
      </c>
      <c r="E8" s="23"/>
      <c r="F8" s="46">
        <v>1117.4724056957832</v>
      </c>
      <c r="G8" s="20"/>
      <c r="H8" s="85">
        <f t="shared" si="0"/>
        <v>0.055897800832760164</v>
      </c>
      <c r="I8" s="23"/>
      <c r="J8" s="54">
        <v>1.5595101237373266</v>
      </c>
      <c r="K8" s="23"/>
      <c r="L8" s="46">
        <f t="shared" si="1"/>
        <v>1742.7095296796788</v>
      </c>
      <c r="M8" s="23"/>
      <c r="N8" s="83">
        <f t="shared" si="2"/>
        <v>0.08717318629334224</v>
      </c>
      <c r="O8" s="4"/>
    </row>
    <row r="9" spans="1:20" ht="12.75" customHeight="1">
      <c r="A9" s="18"/>
      <c r="B9" s="327"/>
      <c r="C9" s="327" t="s">
        <v>379</v>
      </c>
      <c r="D9" s="44">
        <v>86.41530155796197</v>
      </c>
      <c r="E9" s="23"/>
      <c r="F9" s="46">
        <v>35.9655394299564</v>
      </c>
      <c r="G9" s="20"/>
      <c r="H9" s="85">
        <f t="shared" si="0"/>
        <v>0.41619410893142544</v>
      </c>
      <c r="I9" s="23"/>
      <c r="J9" s="54">
        <v>1.5595101237373266</v>
      </c>
      <c r="K9" s="23"/>
      <c r="L9" s="46">
        <f t="shared" si="1"/>
        <v>56.088622846691</v>
      </c>
      <c r="M9" s="23"/>
      <c r="N9" s="83">
        <f t="shared" si="2"/>
        <v>0.6490589263183937</v>
      </c>
      <c r="O9" s="4"/>
      <c r="Q9" s="140"/>
      <c r="R9" s="140"/>
      <c r="S9" s="140"/>
      <c r="T9" s="140"/>
    </row>
    <row r="10" spans="1:20" ht="12.75" customHeight="1">
      <c r="A10" s="18"/>
      <c r="B10" s="364" t="s">
        <v>371</v>
      </c>
      <c r="C10" s="364" t="s">
        <v>372</v>
      </c>
      <c r="D10" s="44">
        <v>19991.34830078795</v>
      </c>
      <c r="E10" s="23"/>
      <c r="F10" s="46">
        <v>56.46936377085333</v>
      </c>
      <c r="G10" s="20"/>
      <c r="H10" s="85">
        <f t="shared" si="0"/>
        <v>0.0028246901070013175</v>
      </c>
      <c r="I10" s="23"/>
      <c r="J10" s="54">
        <v>1.5595101237373266</v>
      </c>
      <c r="K10" s="23"/>
      <c r="L10" s="46">
        <f t="shared" si="1"/>
        <v>88.06454448165158</v>
      </c>
      <c r="M10" s="23"/>
      <c r="N10" s="83">
        <f t="shared" si="2"/>
        <v>0.004405132818289227</v>
      </c>
      <c r="O10" s="4"/>
      <c r="Q10" s="140"/>
      <c r="R10" s="140"/>
      <c r="S10" s="140"/>
      <c r="T10" s="140"/>
    </row>
    <row r="11" spans="1:20" ht="12.75" customHeight="1">
      <c r="A11" s="18"/>
      <c r="B11" s="18" t="s">
        <v>138</v>
      </c>
      <c r="C11" s="327" t="s">
        <v>380</v>
      </c>
      <c r="D11" s="44">
        <v>19991.34830078795</v>
      </c>
      <c r="E11" s="23"/>
      <c r="F11" s="46">
        <v>11895.48023641052</v>
      </c>
      <c r="G11" s="20"/>
      <c r="H11" s="85">
        <f t="shared" si="0"/>
        <v>0.5950314134610752</v>
      </c>
      <c r="I11" s="23"/>
      <c r="J11" s="54">
        <v>1.359485895130023</v>
      </c>
      <c r="K11" s="23"/>
      <c r="L11" s="46">
        <f t="shared" si="1"/>
        <v>16171.737597198055</v>
      </c>
      <c r="M11" s="23"/>
      <c r="N11" s="83">
        <f t="shared" si="2"/>
        <v>0.8089368137596128</v>
      </c>
      <c r="O11" s="4"/>
      <c r="Q11" s="140"/>
      <c r="R11" s="140"/>
      <c r="S11" s="140"/>
      <c r="T11" s="140"/>
    </row>
    <row r="12" spans="1:15" ht="12.75" customHeight="1">
      <c r="A12" s="283"/>
      <c r="B12" s="283" t="s">
        <v>138</v>
      </c>
      <c r="C12" s="430" t="s">
        <v>182</v>
      </c>
      <c r="D12" s="434">
        <v>1427.9534500562822</v>
      </c>
      <c r="E12" s="435"/>
      <c r="F12" s="438">
        <v>114.37696645450646</v>
      </c>
      <c r="G12" s="144"/>
      <c r="H12" s="436">
        <f t="shared" si="0"/>
        <v>0.08009852593584078</v>
      </c>
      <c r="I12" s="435"/>
      <c r="J12" s="437">
        <v>1.4666301987498853</v>
      </c>
      <c r="K12" s="435"/>
      <c r="L12" s="438">
        <f t="shared" si="1"/>
        <v>167.74871304358177</v>
      </c>
      <c r="M12" s="435"/>
      <c r="N12" s="172">
        <f t="shared" si="2"/>
        <v>0.11747491701285502</v>
      </c>
      <c r="O12" s="4"/>
    </row>
    <row r="13" spans="1:15" ht="12.75" customHeight="1">
      <c r="A13" s="18"/>
      <c r="B13" s="18"/>
      <c r="C13" s="433" t="s">
        <v>102</v>
      </c>
      <c r="D13" s="44">
        <v>19991.34830078795</v>
      </c>
      <c r="E13" s="23"/>
      <c r="F13" s="46">
        <f>SUM(F6:F12)</f>
        <v>15127.022330543174</v>
      </c>
      <c r="G13" s="23"/>
      <c r="H13" s="85">
        <f t="shared" si="0"/>
        <v>0.7566784442421499</v>
      </c>
      <c r="I13" s="23"/>
      <c r="J13" s="23"/>
      <c r="K13" s="23"/>
      <c r="L13" s="46">
        <f>SUM(L6:L12)</f>
        <v>20999.90149894564</v>
      </c>
      <c r="M13" s="23"/>
      <c r="N13" s="83">
        <f t="shared" si="2"/>
        <v>1.050449483595758</v>
      </c>
      <c r="O13" s="4"/>
    </row>
    <row r="14" spans="1:15" ht="12.75" customHeight="1">
      <c r="A14" s="18"/>
      <c r="B14" s="18"/>
      <c r="C14" s="18"/>
      <c r="D14" s="23"/>
      <c r="E14" s="23"/>
      <c r="F14" s="23"/>
      <c r="G14" s="23"/>
      <c r="H14" s="23"/>
      <c r="I14" s="23"/>
      <c r="J14" s="23"/>
      <c r="K14" s="23"/>
      <c r="L14" s="23"/>
      <c r="M14" s="23"/>
      <c r="N14" s="83"/>
      <c r="O14" s="4"/>
    </row>
    <row r="15" spans="1:15" ht="12.75" customHeight="1">
      <c r="A15" s="18" t="s">
        <v>360</v>
      </c>
      <c r="B15" s="18" t="s">
        <v>138</v>
      </c>
      <c r="C15" s="327" t="s">
        <v>361</v>
      </c>
      <c r="D15" s="44">
        <v>2952.4466992120465</v>
      </c>
      <c r="E15" s="23"/>
      <c r="F15" s="46">
        <v>1405.4388260805035</v>
      </c>
      <c r="G15" s="20"/>
      <c r="H15" s="85">
        <f aca="true" t="shared" si="3" ref="H15:H22">IF(D15&lt;&gt;0,F15/D15,0)</f>
        <v>0.47602513076886</v>
      </c>
      <c r="I15" s="23"/>
      <c r="J15" s="54">
        <v>1.359485895130023</v>
      </c>
      <c r="K15" s="23"/>
      <c r="L15" s="46">
        <f aca="true" t="shared" si="4" ref="L15:L21">F15*J15</f>
        <v>1910.6742605245422</v>
      </c>
      <c r="M15" s="23"/>
      <c r="N15" s="83">
        <f aca="true" t="shared" si="5" ref="N15:N22">IF(D15&lt;&gt;0,L15/D15,0)</f>
        <v>0.64714945100769</v>
      </c>
      <c r="O15" s="4"/>
    </row>
    <row r="16" spans="1:15" ht="12.75" customHeight="1">
      <c r="A16" s="18"/>
      <c r="B16" s="327" t="s">
        <v>319</v>
      </c>
      <c r="C16" s="327" t="s">
        <v>377</v>
      </c>
      <c r="D16" s="44">
        <v>2952.4466992120465</v>
      </c>
      <c r="E16" s="23"/>
      <c r="F16" s="46">
        <v>48.899341499820764</v>
      </c>
      <c r="G16" s="20"/>
      <c r="H16" s="85">
        <f t="shared" si="3"/>
        <v>0.016562311357854857</v>
      </c>
      <c r="I16" s="23"/>
      <c r="J16" s="54">
        <v>1.5595101237373266</v>
      </c>
      <c r="K16" s="23"/>
      <c r="L16" s="46">
        <f t="shared" si="4"/>
        <v>76.25901811305927</v>
      </c>
      <c r="M16" s="23"/>
      <c r="N16" s="83">
        <f t="shared" si="5"/>
        <v>0.02582909223506436</v>
      </c>
      <c r="O16" s="4"/>
    </row>
    <row r="17" spans="1:15" ht="12.75" customHeight="1">
      <c r="A17" s="18"/>
      <c r="B17" s="327"/>
      <c r="C17" s="327" t="s">
        <v>378</v>
      </c>
      <c r="D17" s="44">
        <v>2952.4466992120465</v>
      </c>
      <c r="E17" s="23"/>
      <c r="F17" s="46">
        <v>165.03527756189507</v>
      </c>
      <c r="G17" s="20"/>
      <c r="H17" s="85">
        <f t="shared" si="3"/>
        <v>0.05589780083276014</v>
      </c>
      <c r="I17" s="23"/>
      <c r="J17" s="54">
        <v>1.5595101237373266</v>
      </c>
      <c r="K17" s="23"/>
      <c r="L17" s="46">
        <f t="shared" si="4"/>
        <v>257.374186131575</v>
      </c>
      <c r="M17" s="23"/>
      <c r="N17" s="83">
        <f t="shared" si="5"/>
        <v>0.08717318629334221</v>
      </c>
      <c r="O17" s="4"/>
    </row>
    <row r="18" spans="1:15" ht="12.75" customHeight="1">
      <c r="A18" s="18"/>
      <c r="B18" s="327"/>
      <c r="C18" s="327" t="s">
        <v>379</v>
      </c>
      <c r="D18" s="44">
        <v>12.762349392720166</v>
      </c>
      <c r="E18" s="23"/>
      <c r="F18" s="46">
        <v>5.311614633374687</v>
      </c>
      <c r="G18" s="20"/>
      <c r="H18" s="85">
        <f t="shared" si="3"/>
        <v>0.4161941089314254</v>
      </c>
      <c r="I18" s="23"/>
      <c r="J18" s="54">
        <v>1.5595101237373266</v>
      </c>
      <c r="K18" s="23"/>
      <c r="L18" s="46">
        <f t="shared" si="4"/>
        <v>8.283516794139153</v>
      </c>
      <c r="M18" s="23"/>
      <c r="N18" s="83">
        <f t="shared" si="5"/>
        <v>0.6490589263183936</v>
      </c>
      <c r="O18" s="4"/>
    </row>
    <row r="19" spans="1:15" ht="12.75" customHeight="1">
      <c r="A19" s="18"/>
      <c r="B19" s="364" t="s">
        <v>371</v>
      </c>
      <c r="C19" s="364" t="s">
        <v>372</v>
      </c>
      <c r="D19" s="44">
        <v>2952.4466992120465</v>
      </c>
      <c r="E19" s="23"/>
      <c r="F19" s="46">
        <v>8.339746982712963</v>
      </c>
      <c r="G19" s="20"/>
      <c r="H19" s="85">
        <f t="shared" si="3"/>
        <v>0.002824690107001318</v>
      </c>
      <c r="I19" s="23"/>
      <c r="J19" s="54">
        <v>1.5595101237373266</v>
      </c>
      <c r="K19" s="23"/>
      <c r="L19" s="46">
        <f t="shared" si="4"/>
        <v>13.00591984894869</v>
      </c>
      <c r="M19" s="23"/>
      <c r="N19" s="83">
        <f t="shared" si="5"/>
        <v>0.004405132818289227</v>
      </c>
      <c r="O19" s="4"/>
    </row>
    <row r="20" spans="1:15" ht="12.75" customHeight="1">
      <c r="A20" s="18"/>
      <c r="B20" s="18" t="s">
        <v>138</v>
      </c>
      <c r="C20" s="327" t="s">
        <v>380</v>
      </c>
      <c r="D20" s="44">
        <v>2952.4466992120465</v>
      </c>
      <c r="E20" s="23"/>
      <c r="F20" s="46">
        <v>1756.7985326006296</v>
      </c>
      <c r="G20" s="20"/>
      <c r="H20" s="85">
        <f t="shared" si="3"/>
        <v>0.5950314134610751</v>
      </c>
      <c r="I20" s="23"/>
      <c r="J20" s="54">
        <v>1.359485895130023</v>
      </c>
      <c r="K20" s="23"/>
      <c r="L20" s="46">
        <f t="shared" si="4"/>
        <v>2388.342825655678</v>
      </c>
      <c r="M20" s="23"/>
      <c r="N20" s="83">
        <f t="shared" si="5"/>
        <v>0.8089368137596126</v>
      </c>
      <c r="O20" s="4"/>
    </row>
    <row r="21" spans="1:15" ht="12.75" customHeight="1">
      <c r="A21" s="283"/>
      <c r="B21" s="283" t="s">
        <v>138</v>
      </c>
      <c r="C21" s="430" t="s">
        <v>182</v>
      </c>
      <c r="D21" s="434">
        <v>210.8890499437176</v>
      </c>
      <c r="E21" s="435"/>
      <c r="F21" s="438">
        <v>16.891902036501687</v>
      </c>
      <c r="G21" s="144"/>
      <c r="H21" s="436">
        <f t="shared" si="3"/>
        <v>0.08009852593584078</v>
      </c>
      <c r="I21" s="435"/>
      <c r="J21" s="437">
        <v>1.4666301987498853</v>
      </c>
      <c r="K21" s="435"/>
      <c r="L21" s="438">
        <f t="shared" si="4"/>
        <v>24.774173641058063</v>
      </c>
      <c r="M21" s="435"/>
      <c r="N21" s="172">
        <f t="shared" si="5"/>
        <v>0.11747491701285502</v>
      </c>
      <c r="O21" s="4"/>
    </row>
    <row r="22" spans="1:15" ht="12.75" customHeight="1">
      <c r="A22" s="18"/>
      <c r="B22" s="18"/>
      <c r="C22" s="18"/>
      <c r="D22" s="44">
        <v>2952.4466992120465</v>
      </c>
      <c r="E22" s="23"/>
      <c r="F22" s="46">
        <f>SUM(F15:F21)</f>
        <v>3406.715241395438</v>
      </c>
      <c r="G22" s="23"/>
      <c r="H22" s="85">
        <f t="shared" si="3"/>
        <v>1.1538617250244103</v>
      </c>
      <c r="I22" s="23"/>
      <c r="J22" s="23"/>
      <c r="K22" s="23"/>
      <c r="L22" s="46">
        <f>SUM(L15:L21)</f>
        <v>4678.713900709001</v>
      </c>
      <c r="M22" s="23"/>
      <c r="N22" s="83">
        <f t="shared" si="5"/>
        <v>1.584690386437006</v>
      </c>
      <c r="O22" s="4"/>
    </row>
    <row r="23" spans="1:15" ht="12.75" customHeight="1">
      <c r="A23" s="18"/>
      <c r="B23" s="18"/>
      <c r="C23" s="18"/>
      <c r="D23" s="23"/>
      <c r="E23" s="23"/>
      <c r="F23" s="23"/>
      <c r="G23" s="23"/>
      <c r="H23" s="23"/>
      <c r="I23" s="23"/>
      <c r="J23" s="23"/>
      <c r="K23" s="23"/>
      <c r="L23" s="23"/>
      <c r="M23" s="23"/>
      <c r="N23" s="83"/>
      <c r="O23" s="4"/>
    </row>
    <row r="24" spans="1:15" ht="12.75" customHeight="1">
      <c r="A24" s="18" t="s">
        <v>362</v>
      </c>
      <c r="B24" s="327" t="s">
        <v>319</v>
      </c>
      <c r="C24" s="327" t="s">
        <v>377</v>
      </c>
      <c r="D24" s="44">
        <v>0</v>
      </c>
      <c r="E24" s="23"/>
      <c r="F24" s="46">
        <v>0</v>
      </c>
      <c r="G24" s="20"/>
      <c r="H24" s="85">
        <f aca="true" t="shared" si="6" ref="H24:H30">IF(D24&lt;&gt;0,F24/D24,0)</f>
        <v>0</v>
      </c>
      <c r="I24" s="23"/>
      <c r="J24" s="54">
        <v>1.5595101237373266</v>
      </c>
      <c r="K24" s="23"/>
      <c r="L24" s="46">
        <f aca="true" t="shared" si="7" ref="L24:L29">F24*J24</f>
        <v>0</v>
      </c>
      <c r="M24" s="23"/>
      <c r="N24" s="83">
        <f aca="true" t="shared" si="8" ref="N24:N30">IF(D24&lt;&gt;0,L24/D24,0)</f>
        <v>0</v>
      </c>
      <c r="O24" s="4"/>
    </row>
    <row r="25" spans="1:15" ht="12.75" customHeight="1">
      <c r="A25" s="18"/>
      <c r="B25" s="327"/>
      <c r="C25" s="327" t="s">
        <v>378</v>
      </c>
      <c r="D25" s="44">
        <v>14029.189</v>
      </c>
      <c r="E25" s="23"/>
      <c r="F25" s="46">
        <v>784.2008125671497</v>
      </c>
      <c r="G25" s="20"/>
      <c r="H25" s="85">
        <f t="shared" si="6"/>
        <v>0.05589780083276016</v>
      </c>
      <c r="I25" s="23"/>
      <c r="J25" s="54">
        <v>1.5595101237373266</v>
      </c>
      <c r="K25" s="23"/>
      <c r="L25" s="46">
        <f t="shared" si="7"/>
        <v>1222.9691062415077</v>
      </c>
      <c r="M25" s="23"/>
      <c r="N25" s="83">
        <f t="shared" si="8"/>
        <v>0.08717318629334224</v>
      </c>
      <c r="O25" s="4"/>
    </row>
    <row r="26" spans="1:15" ht="12.75" customHeight="1">
      <c r="A26" s="18"/>
      <c r="B26" s="327"/>
      <c r="C26" s="327" t="s">
        <v>379</v>
      </c>
      <c r="D26" s="44">
        <v>0</v>
      </c>
      <c r="E26" s="23"/>
      <c r="F26" s="46">
        <v>0</v>
      </c>
      <c r="G26" s="20"/>
      <c r="H26" s="85">
        <f t="shared" si="6"/>
        <v>0</v>
      </c>
      <c r="I26" s="23"/>
      <c r="J26" s="54">
        <v>1.5595101237373266</v>
      </c>
      <c r="K26" s="23"/>
      <c r="L26" s="46">
        <f t="shared" si="7"/>
        <v>0</v>
      </c>
      <c r="M26" s="23"/>
      <c r="N26" s="83">
        <f t="shared" si="8"/>
        <v>0</v>
      </c>
      <c r="O26" s="4"/>
    </row>
    <row r="27" spans="1:15" ht="12.75" customHeight="1">
      <c r="A27" s="18"/>
      <c r="B27" s="364" t="s">
        <v>371</v>
      </c>
      <c r="C27" s="364" t="s">
        <v>372</v>
      </c>
      <c r="D27" s="44">
        <v>14029.189</v>
      </c>
      <c r="E27" s="23"/>
      <c r="F27" s="46">
        <v>39.62811137755171</v>
      </c>
      <c r="G27" s="20"/>
      <c r="H27" s="85">
        <f t="shared" si="6"/>
        <v>0.002824690107001318</v>
      </c>
      <c r="I27" s="23"/>
      <c r="J27" s="54">
        <v>1.5595101237373266</v>
      </c>
      <c r="K27" s="23"/>
      <c r="L27" s="46">
        <f t="shared" si="7"/>
        <v>61.80044087788223</v>
      </c>
      <c r="M27" s="23"/>
      <c r="N27" s="83">
        <f t="shared" si="8"/>
        <v>0.004405132818289227</v>
      </c>
      <c r="O27" s="4"/>
    </row>
    <row r="28" spans="1:15" ht="12.75" customHeight="1">
      <c r="A28" s="18"/>
      <c r="B28" s="18" t="s">
        <v>138</v>
      </c>
      <c r="C28" s="327" t="s">
        <v>380</v>
      </c>
      <c r="D28" s="44">
        <v>14029.189</v>
      </c>
      <c r="E28" s="23"/>
      <c r="F28" s="46">
        <v>8347.808160382567</v>
      </c>
      <c r="G28" s="20"/>
      <c r="H28" s="85">
        <f t="shared" si="6"/>
        <v>0.5950314134610751</v>
      </c>
      <c r="I28" s="23"/>
      <c r="J28" s="54">
        <v>1.359485895130023</v>
      </c>
      <c r="K28" s="23"/>
      <c r="L28" s="46">
        <f t="shared" si="7"/>
        <v>11348.727449291404</v>
      </c>
      <c r="M28" s="23"/>
      <c r="N28" s="83">
        <f t="shared" si="8"/>
        <v>0.8089368137596125</v>
      </c>
      <c r="O28" s="4"/>
    </row>
    <row r="29" spans="1:15" ht="12.75" customHeight="1">
      <c r="A29" s="283"/>
      <c r="B29" s="283" t="s">
        <v>138</v>
      </c>
      <c r="C29" s="430" t="s">
        <v>182</v>
      </c>
      <c r="D29" s="434">
        <v>1002.0849285714286</v>
      </c>
      <c r="E29" s="435"/>
      <c r="F29" s="438">
        <v>80.26552564109375</v>
      </c>
      <c r="G29" s="144"/>
      <c r="H29" s="436">
        <f t="shared" si="6"/>
        <v>0.0800985259358408</v>
      </c>
      <c r="I29" s="435"/>
      <c r="J29" s="437">
        <v>1.4666301987498853</v>
      </c>
      <c r="K29" s="435"/>
      <c r="L29" s="438">
        <f t="shared" si="7"/>
        <v>117.71984382376134</v>
      </c>
      <c r="M29" s="435"/>
      <c r="N29" s="172">
        <f t="shared" si="8"/>
        <v>0.11747491701285503</v>
      </c>
      <c r="O29" s="4"/>
    </row>
    <row r="30" spans="1:15" ht="12.75" customHeight="1">
      <c r="A30" s="18"/>
      <c r="B30" s="18"/>
      <c r="C30" s="18"/>
      <c r="D30" s="44">
        <v>14029.189</v>
      </c>
      <c r="E30" s="23"/>
      <c r="F30" s="46">
        <f>SUM(F24:F29)</f>
        <v>9251.902609968363</v>
      </c>
      <c r="G30" s="23"/>
      <c r="H30" s="85">
        <f t="shared" si="6"/>
        <v>0.6594752276819682</v>
      </c>
      <c r="I30" s="23"/>
      <c r="J30" s="23"/>
      <c r="K30" s="23"/>
      <c r="L30" s="46">
        <f>SUM(L23:L29)</f>
        <v>12751.216840234554</v>
      </c>
      <c r="M30" s="23"/>
      <c r="N30" s="83">
        <f t="shared" si="8"/>
        <v>0.908906198372162</v>
      </c>
      <c r="O30" s="4"/>
    </row>
    <row r="31" spans="1:15" ht="12.75" customHeight="1">
      <c r="A31" s="18"/>
      <c r="B31" s="18"/>
      <c r="C31" s="18"/>
      <c r="D31" s="23"/>
      <c r="E31" s="23"/>
      <c r="F31" s="23"/>
      <c r="G31" s="23"/>
      <c r="H31" s="23"/>
      <c r="I31" s="23"/>
      <c r="J31" s="23"/>
      <c r="K31" s="23"/>
      <c r="L31" s="23"/>
      <c r="M31" s="23"/>
      <c r="N31" s="83"/>
      <c r="O31" s="4"/>
    </row>
    <row r="32" spans="1:15" ht="12.75" customHeight="1">
      <c r="A32" s="18" t="s">
        <v>363</v>
      </c>
      <c r="B32" s="327" t="s">
        <v>319</v>
      </c>
      <c r="C32" s="327" t="s">
        <v>377</v>
      </c>
      <c r="D32" s="44">
        <v>0</v>
      </c>
      <c r="E32" s="23"/>
      <c r="F32" s="46">
        <v>0</v>
      </c>
      <c r="G32" s="20"/>
      <c r="H32" s="85">
        <f aca="true" t="shared" si="9" ref="H32:H38">IF(D32&lt;&gt;0,F32/D32,0)</f>
        <v>0</v>
      </c>
      <c r="I32" s="23"/>
      <c r="J32" s="54">
        <v>1.5595101237373266</v>
      </c>
      <c r="K32" s="23"/>
      <c r="L32" s="46">
        <f aca="true" t="shared" si="10" ref="L32:L37">F32*J32</f>
        <v>0</v>
      </c>
      <c r="M32" s="23"/>
      <c r="N32" s="83">
        <f aca="true" t="shared" si="11" ref="N32:N38">IF(D32&lt;&gt;0,L32/D32,0)</f>
        <v>0</v>
      </c>
      <c r="O32" s="4"/>
    </row>
    <row r="33" spans="1:15" ht="12.75" customHeight="1">
      <c r="A33" s="18"/>
      <c r="B33" s="327"/>
      <c r="C33" s="327" t="s">
        <v>378</v>
      </c>
      <c r="D33" s="44">
        <v>0</v>
      </c>
      <c r="E33" s="23"/>
      <c r="F33" s="46">
        <v>0</v>
      </c>
      <c r="G33" s="20"/>
      <c r="H33" s="85">
        <f t="shared" si="9"/>
        <v>0</v>
      </c>
      <c r="I33" s="23"/>
      <c r="J33" s="54">
        <v>1.5595101237373266</v>
      </c>
      <c r="K33" s="23"/>
      <c r="L33" s="46">
        <f t="shared" si="10"/>
        <v>0</v>
      </c>
      <c r="M33" s="23"/>
      <c r="N33" s="83">
        <f t="shared" si="11"/>
        <v>0</v>
      </c>
      <c r="O33" s="4"/>
    </row>
    <row r="34" spans="1:15" ht="12.75" customHeight="1">
      <c r="A34" s="18"/>
      <c r="B34" s="327"/>
      <c r="C34" s="327" t="s">
        <v>379</v>
      </c>
      <c r="D34" s="44">
        <v>0</v>
      </c>
      <c r="E34" s="23"/>
      <c r="F34" s="46">
        <v>0</v>
      </c>
      <c r="G34" s="20"/>
      <c r="H34" s="85">
        <f t="shared" si="9"/>
        <v>0</v>
      </c>
      <c r="I34" s="23"/>
      <c r="J34" s="54">
        <v>1.5595101237373266</v>
      </c>
      <c r="K34" s="23"/>
      <c r="L34" s="46">
        <f t="shared" si="10"/>
        <v>0</v>
      </c>
      <c r="M34" s="23"/>
      <c r="N34" s="83">
        <f t="shared" si="11"/>
        <v>0</v>
      </c>
      <c r="O34" s="4"/>
    </row>
    <row r="35" spans="1:15" ht="12.75" customHeight="1">
      <c r="A35" s="18"/>
      <c r="B35" s="364" t="s">
        <v>371</v>
      </c>
      <c r="C35" s="364" t="s">
        <v>372</v>
      </c>
      <c r="D35" s="44">
        <v>0</v>
      </c>
      <c r="E35" s="23"/>
      <c r="F35" s="46">
        <v>0</v>
      </c>
      <c r="G35" s="20"/>
      <c r="H35" s="85">
        <f t="shared" si="9"/>
        <v>0</v>
      </c>
      <c r="I35" s="23"/>
      <c r="J35" s="54">
        <v>1.5595101237373266</v>
      </c>
      <c r="K35" s="23"/>
      <c r="L35" s="46">
        <f t="shared" si="10"/>
        <v>0</v>
      </c>
      <c r="M35" s="23"/>
      <c r="N35" s="83">
        <f t="shared" si="11"/>
        <v>0</v>
      </c>
      <c r="O35" s="4"/>
    </row>
    <row r="36" spans="1:15" ht="12.75" customHeight="1">
      <c r="A36" s="18"/>
      <c r="B36" s="18" t="s">
        <v>138</v>
      </c>
      <c r="C36" s="327" t="s">
        <v>380</v>
      </c>
      <c r="D36" s="44">
        <v>0</v>
      </c>
      <c r="E36" s="23"/>
      <c r="F36" s="46">
        <v>0</v>
      </c>
      <c r="G36" s="20"/>
      <c r="H36" s="85">
        <f t="shared" si="9"/>
        <v>0</v>
      </c>
      <c r="I36" s="23"/>
      <c r="J36" s="54">
        <v>1.359485895130023</v>
      </c>
      <c r="K36" s="23"/>
      <c r="L36" s="46">
        <f t="shared" si="10"/>
        <v>0</v>
      </c>
      <c r="M36" s="23"/>
      <c r="N36" s="83">
        <f t="shared" si="11"/>
        <v>0</v>
      </c>
      <c r="O36" s="4"/>
    </row>
    <row r="37" spans="1:15" ht="12.75" customHeight="1">
      <c r="A37" s="283"/>
      <c r="B37" s="283" t="s">
        <v>138</v>
      </c>
      <c r="C37" s="430" t="s">
        <v>182</v>
      </c>
      <c r="D37" s="434">
        <v>0</v>
      </c>
      <c r="E37" s="435"/>
      <c r="F37" s="438">
        <v>0</v>
      </c>
      <c r="G37" s="144"/>
      <c r="H37" s="436">
        <f t="shared" si="9"/>
        <v>0</v>
      </c>
      <c r="I37" s="435"/>
      <c r="J37" s="437">
        <v>1.4666301987498853</v>
      </c>
      <c r="K37" s="435"/>
      <c r="L37" s="438">
        <f t="shared" si="10"/>
        <v>0</v>
      </c>
      <c r="M37" s="435"/>
      <c r="N37" s="172">
        <f t="shared" si="11"/>
        <v>0</v>
      </c>
      <c r="O37" s="4"/>
    </row>
    <row r="38" spans="1:15" ht="12.75" customHeight="1">
      <c r="A38" s="16"/>
      <c r="B38" s="23"/>
      <c r="C38" s="23"/>
      <c r="D38" s="44">
        <v>0</v>
      </c>
      <c r="E38" s="23"/>
      <c r="F38" s="46">
        <f>SUM(F32:F37)</f>
        <v>0</v>
      </c>
      <c r="G38" s="23"/>
      <c r="H38" s="85">
        <f t="shared" si="9"/>
        <v>0</v>
      </c>
      <c r="I38" s="23"/>
      <c r="J38" s="23"/>
      <c r="K38" s="23"/>
      <c r="L38" s="46">
        <f>SUM(L31:L37)</f>
        <v>0</v>
      </c>
      <c r="M38" s="23"/>
      <c r="N38" s="83">
        <f t="shared" si="11"/>
        <v>0</v>
      </c>
      <c r="O38" s="4"/>
    </row>
    <row r="39" spans="1:15" ht="4.5" customHeight="1">
      <c r="A39" s="16"/>
      <c r="B39" s="23"/>
      <c r="C39" s="23"/>
      <c r="D39" s="44"/>
      <c r="E39" s="23"/>
      <c r="F39" s="42"/>
      <c r="G39" s="23"/>
      <c r="H39" s="85"/>
      <c r="I39" s="23"/>
      <c r="J39" s="23"/>
      <c r="K39" s="23"/>
      <c r="L39" s="23"/>
      <c r="M39" s="23"/>
      <c r="N39" s="83"/>
      <c r="O39" s="4"/>
    </row>
    <row r="40" spans="1:15" ht="12.75" customHeight="1">
      <c r="A40" s="16"/>
      <c r="B40" s="23"/>
      <c r="C40" s="334" t="s">
        <v>365</v>
      </c>
      <c r="D40" s="44">
        <f>SUM(D13,D22,D30,D38)</f>
        <v>36972.984</v>
      </c>
      <c r="E40" s="23"/>
      <c r="F40" s="42">
        <f>SUM(F13,F22,F30,F38)</f>
        <v>27785.640181906972</v>
      </c>
      <c r="G40" s="23"/>
      <c r="H40" s="85">
        <f>IF(D40&lt;&gt;0,F40/D40,0)</f>
        <v>0.7515119737673046</v>
      </c>
      <c r="I40" s="23"/>
      <c r="J40" s="23"/>
      <c r="K40" s="23"/>
      <c r="L40" s="42">
        <f>SUM(L13,L22,L30,L38)</f>
        <v>38429.8322398892</v>
      </c>
      <c r="M40" s="23"/>
      <c r="N40" s="83">
        <f>IF(D40&lt;&gt;0,L40/D40,0)</f>
        <v>1.0394030473680242</v>
      </c>
      <c r="O40" s="4"/>
    </row>
    <row r="41" spans="1:15" ht="12.75" customHeight="1">
      <c r="A41" s="16"/>
      <c r="B41" s="23"/>
      <c r="C41" s="334"/>
      <c r="D41" s="44"/>
      <c r="E41" s="23"/>
      <c r="F41" s="42"/>
      <c r="G41" s="23"/>
      <c r="H41" s="85"/>
      <c r="I41" s="23"/>
      <c r="J41" s="23"/>
      <c r="K41" s="23"/>
      <c r="L41" s="42"/>
      <c r="M41" s="23"/>
      <c r="N41" s="83"/>
      <c r="O41" s="4"/>
    </row>
    <row r="42" spans="1:15" ht="15.75" customHeight="1">
      <c r="A42" s="158" t="s">
        <v>89</v>
      </c>
      <c r="B42" s="23"/>
      <c r="C42" s="334"/>
      <c r="D42" s="44"/>
      <c r="E42" s="23"/>
      <c r="F42" s="42"/>
      <c r="G42" s="23"/>
      <c r="H42" s="85"/>
      <c r="I42" s="23"/>
      <c r="J42" s="23"/>
      <c r="K42" s="23"/>
      <c r="L42" s="42"/>
      <c r="M42" s="23"/>
      <c r="N42" s="83"/>
      <c r="O42" s="4"/>
    </row>
    <row r="43" spans="1:15" ht="15.75" customHeight="1">
      <c r="A43" s="158" t="s">
        <v>787</v>
      </c>
      <c r="B43" s="23"/>
      <c r="C43" s="334"/>
      <c r="D43" s="44"/>
      <c r="E43" s="23"/>
      <c r="F43" s="42"/>
      <c r="G43" s="23"/>
      <c r="H43" s="85"/>
      <c r="I43" s="23"/>
      <c r="J43" s="23"/>
      <c r="K43" s="23"/>
      <c r="L43" s="42"/>
      <c r="M43" s="23"/>
      <c r="N43" s="83"/>
      <c r="O43" s="4"/>
    </row>
    <row r="44" spans="1:15" ht="4.5" customHeight="1">
      <c r="A44" s="16"/>
      <c r="B44" s="23"/>
      <c r="C44" s="334"/>
      <c r="D44" s="44"/>
      <c r="E44" s="23"/>
      <c r="F44" s="42"/>
      <c r="G44" s="23"/>
      <c r="H44" s="85"/>
      <c r="I44" s="23"/>
      <c r="J44" s="23"/>
      <c r="K44" s="23"/>
      <c r="L44" s="42"/>
      <c r="M44" s="23"/>
      <c r="N44" s="83"/>
      <c r="O44" s="4"/>
    </row>
    <row r="45" spans="1:15" ht="12.75" customHeight="1">
      <c r="A45" s="19" t="s">
        <v>366</v>
      </c>
      <c r="B45" s="23"/>
      <c r="C45" s="334"/>
      <c r="D45" s="44"/>
      <c r="E45" s="23"/>
      <c r="F45" s="42"/>
      <c r="G45" s="23"/>
      <c r="H45" s="85"/>
      <c r="I45" s="23"/>
      <c r="J45" s="23"/>
      <c r="K45" s="23"/>
      <c r="L45" s="42"/>
      <c r="M45" s="23"/>
      <c r="N45" s="83"/>
      <c r="O45" s="4"/>
    </row>
    <row r="46" spans="1:15" ht="25.5" customHeight="1">
      <c r="A46" s="431" t="s">
        <v>356</v>
      </c>
      <c r="B46" s="431" t="s">
        <v>357</v>
      </c>
      <c r="C46" s="432" t="s">
        <v>364</v>
      </c>
      <c r="D46" s="160" t="s">
        <v>370</v>
      </c>
      <c r="E46" s="23"/>
      <c r="F46" s="189" t="s">
        <v>249</v>
      </c>
      <c r="G46" s="160"/>
      <c r="H46" s="183" t="s">
        <v>337</v>
      </c>
      <c r="I46" s="159"/>
      <c r="J46" s="160" t="s">
        <v>246</v>
      </c>
      <c r="K46" s="159"/>
      <c r="L46" s="160" t="s">
        <v>218</v>
      </c>
      <c r="M46" s="159"/>
      <c r="N46" s="160" t="s">
        <v>338</v>
      </c>
      <c r="O46" s="4"/>
    </row>
    <row r="47" spans="1:15" ht="12.75" customHeight="1">
      <c r="A47" s="18" t="s">
        <v>367</v>
      </c>
      <c r="B47" s="18" t="s">
        <v>138</v>
      </c>
      <c r="C47" s="327" t="s">
        <v>361</v>
      </c>
      <c r="D47" s="44">
        <v>12930.911625678766</v>
      </c>
      <c r="E47" s="23"/>
      <c r="F47" s="46">
        <v>6155.438897574308</v>
      </c>
      <c r="G47" s="23"/>
      <c r="H47" s="85">
        <f aca="true" t="shared" si="12" ref="H47:H55">IF(D47&lt;&gt;0,F47/D47,0)</f>
        <v>0.4760251307688601</v>
      </c>
      <c r="I47" s="23"/>
      <c r="J47" s="54">
        <v>1.359485895130023</v>
      </c>
      <c r="K47" s="23"/>
      <c r="L47" s="46">
        <f aca="true" t="shared" si="13" ref="L47:L54">F47*J47</f>
        <v>8368.23235958697</v>
      </c>
      <c r="M47" s="23"/>
      <c r="N47" s="83">
        <f aca="true" t="shared" si="14" ref="N47:N55">IF(D47&lt;&gt;0,L47/D47,0)</f>
        <v>0.64714945100769</v>
      </c>
      <c r="O47" s="4"/>
    </row>
    <row r="48" spans="1:15" ht="12.75" customHeight="1">
      <c r="A48" s="18"/>
      <c r="B48" s="364" t="s">
        <v>371</v>
      </c>
      <c r="C48" s="364" t="s">
        <v>372</v>
      </c>
      <c r="D48" s="44">
        <v>12930.911625678766</v>
      </c>
      <c r="E48" s="23"/>
      <c r="F48" s="46">
        <v>511.3614540098839</v>
      </c>
      <c r="G48" s="23"/>
      <c r="H48" s="85">
        <f t="shared" si="12"/>
        <v>0.03954566149801845</v>
      </c>
      <c r="I48" s="23"/>
      <c r="J48" s="54">
        <v>1.5595101237373266</v>
      </c>
      <c r="K48" s="23"/>
      <c r="L48" s="46">
        <f t="shared" si="13"/>
        <v>797.4733644174532</v>
      </c>
      <c r="M48" s="23"/>
      <c r="N48" s="83">
        <f t="shared" si="14"/>
        <v>0.06167185945604918</v>
      </c>
      <c r="O48" s="4"/>
    </row>
    <row r="49" spans="1:15" ht="12.75" customHeight="1">
      <c r="A49" s="18"/>
      <c r="B49" s="327" t="s">
        <v>319</v>
      </c>
      <c r="C49" s="327" t="s">
        <v>377</v>
      </c>
      <c r="D49" s="44">
        <v>12930.911625678766</v>
      </c>
      <c r="E49" s="23"/>
      <c r="F49" s="46">
        <v>214.16578448539687</v>
      </c>
      <c r="G49" s="23"/>
      <c r="H49" s="85">
        <f t="shared" si="12"/>
        <v>0.01656231135785486</v>
      </c>
      <c r="I49" s="23"/>
      <c r="J49" s="54">
        <v>1.5595101237373266</v>
      </c>
      <c r="K49" s="23"/>
      <c r="L49" s="46">
        <f t="shared" si="13"/>
        <v>333.9937090631229</v>
      </c>
      <c r="M49" s="23"/>
      <c r="N49" s="83">
        <f t="shared" si="14"/>
        <v>0.025829092235064362</v>
      </c>
      <c r="O49" s="4"/>
    </row>
    <row r="50" spans="1:15" ht="12.75" customHeight="1">
      <c r="A50" s="18"/>
      <c r="B50" s="327"/>
      <c r="C50" s="327" t="s">
        <v>378</v>
      </c>
      <c r="D50" s="44">
        <v>12930.911625678766</v>
      </c>
      <c r="E50" s="23"/>
      <c r="F50" s="46">
        <v>722.8095226382146</v>
      </c>
      <c r="G50" s="23"/>
      <c r="H50" s="85">
        <f t="shared" si="12"/>
        <v>0.055897800832760164</v>
      </c>
      <c r="I50" s="23"/>
      <c r="J50" s="54">
        <v>1.5595101237373266</v>
      </c>
      <c r="K50" s="23"/>
      <c r="L50" s="46">
        <f t="shared" si="13"/>
        <v>1127.22876808804</v>
      </c>
      <c r="M50" s="23"/>
      <c r="N50" s="83">
        <f t="shared" si="14"/>
        <v>0.08717318629334224</v>
      </c>
      <c r="O50" s="4"/>
    </row>
    <row r="51" spans="1:15" ht="12.75" customHeight="1">
      <c r="A51" s="18"/>
      <c r="B51" s="327"/>
      <c r="C51" s="327" t="s">
        <v>379</v>
      </c>
      <c r="D51" s="44">
        <v>55.89561097829223</v>
      </c>
      <c r="E51" s="23"/>
      <c r="F51" s="46">
        <v>23.263424004287934</v>
      </c>
      <c r="G51" s="23"/>
      <c r="H51" s="85">
        <f t="shared" si="12"/>
        <v>0.4161941089314254</v>
      </c>
      <c r="I51" s="23"/>
      <c r="J51" s="54">
        <v>1.5595101237373266</v>
      </c>
      <c r="K51" s="23"/>
      <c r="L51" s="46">
        <f t="shared" si="13"/>
        <v>36.27954524748097</v>
      </c>
      <c r="M51" s="23"/>
      <c r="N51" s="83">
        <f t="shared" si="14"/>
        <v>0.6490589263183936</v>
      </c>
      <c r="O51" s="4"/>
    </row>
    <row r="52" spans="1:15" ht="12.75" customHeight="1">
      <c r="A52" s="18"/>
      <c r="B52" s="364" t="s">
        <v>371</v>
      </c>
      <c r="C52" s="364" t="s">
        <v>372</v>
      </c>
      <c r="D52" s="44">
        <v>12930.911625678766</v>
      </c>
      <c r="E52" s="23"/>
      <c r="F52" s="46">
        <v>36.525818143563136</v>
      </c>
      <c r="G52" s="23"/>
      <c r="H52" s="85">
        <f t="shared" si="12"/>
        <v>0.002824690107001318</v>
      </c>
      <c r="I52" s="23"/>
      <c r="J52" s="54">
        <v>1.5595101237373266</v>
      </c>
      <c r="K52" s="23"/>
      <c r="L52" s="46">
        <f t="shared" si="13"/>
        <v>56.96238317267523</v>
      </c>
      <c r="M52" s="23"/>
      <c r="N52" s="83">
        <f t="shared" si="14"/>
        <v>0.004405132818289227</v>
      </c>
      <c r="O52" s="4"/>
    </row>
    <row r="53" spans="1:15" ht="12.75" customHeight="1">
      <c r="A53" s="18"/>
      <c r="B53" s="18" t="s">
        <v>138</v>
      </c>
      <c r="C53" s="327" t="s">
        <v>380</v>
      </c>
      <c r="D53" s="44">
        <v>12930.911625678766</v>
      </c>
      <c r="E53" s="23"/>
      <c r="F53" s="46">
        <v>7694.298621967885</v>
      </c>
      <c r="G53" s="23"/>
      <c r="H53" s="85">
        <f t="shared" si="12"/>
        <v>0.5950314134610751</v>
      </c>
      <c r="I53" s="23"/>
      <c r="J53" s="54">
        <v>1.359485895130023</v>
      </c>
      <c r="K53" s="23"/>
      <c r="L53" s="46">
        <f t="shared" si="13"/>
        <v>10460.290449483713</v>
      </c>
      <c r="M53" s="23"/>
      <c r="N53" s="83">
        <f t="shared" si="14"/>
        <v>0.8089368137596126</v>
      </c>
      <c r="O53" s="4"/>
    </row>
    <row r="54" spans="1:15" ht="12.75" customHeight="1">
      <c r="A54" s="283"/>
      <c r="B54" s="283" t="s">
        <v>138</v>
      </c>
      <c r="C54" s="430" t="s">
        <v>182</v>
      </c>
      <c r="D54" s="434">
        <v>923.6365446913404</v>
      </c>
      <c r="E54" s="435"/>
      <c r="F54" s="438">
        <v>73.9819257302497</v>
      </c>
      <c r="G54" s="435"/>
      <c r="H54" s="436">
        <f t="shared" si="12"/>
        <v>0.08009852593584078</v>
      </c>
      <c r="I54" s="435"/>
      <c r="J54" s="437">
        <v>1.4666301987498853</v>
      </c>
      <c r="K54" s="435"/>
      <c r="L54" s="438">
        <f t="shared" si="13"/>
        <v>108.50412643765537</v>
      </c>
      <c r="M54" s="435"/>
      <c r="N54" s="172">
        <f t="shared" si="14"/>
        <v>0.11747491701285502</v>
      </c>
      <c r="O54" s="4"/>
    </row>
    <row r="55" spans="1:15" ht="12.75" customHeight="1">
      <c r="A55" s="18"/>
      <c r="B55" s="18"/>
      <c r="C55" s="18"/>
      <c r="D55" s="44">
        <v>12930.911625678766</v>
      </c>
      <c r="E55" s="23"/>
      <c r="F55" s="42">
        <f>SUM(F47:F54)</f>
        <v>15431.84544855379</v>
      </c>
      <c r="G55" s="23"/>
      <c r="H55" s="85">
        <f t="shared" si="12"/>
        <v>1.193407386522429</v>
      </c>
      <c r="I55" s="23"/>
      <c r="J55" s="23"/>
      <c r="K55" s="23"/>
      <c r="L55" s="42">
        <f>SUM(L47:L54)</f>
        <v>21288.96470549711</v>
      </c>
      <c r="M55" s="23"/>
      <c r="N55" s="83">
        <f t="shared" si="14"/>
        <v>1.6463622458930551</v>
      </c>
      <c r="O55" s="4"/>
    </row>
    <row r="56" spans="1:15" ht="12.75" customHeight="1">
      <c r="A56" s="18"/>
      <c r="B56" s="18"/>
      <c r="C56" s="18"/>
      <c r="D56" s="44"/>
      <c r="E56" s="23"/>
      <c r="F56" s="42"/>
      <c r="G56" s="23"/>
      <c r="H56" s="85"/>
      <c r="I56" s="23"/>
      <c r="J56" s="23"/>
      <c r="K56" s="23"/>
      <c r="L56" s="42"/>
      <c r="M56" s="23"/>
      <c r="N56" s="83"/>
      <c r="O56" s="4"/>
    </row>
    <row r="57" spans="1:15" ht="12.75" customHeight="1">
      <c r="A57" s="327" t="s">
        <v>368</v>
      </c>
      <c r="B57" s="18" t="s">
        <v>138</v>
      </c>
      <c r="C57" s="327" t="s">
        <v>361</v>
      </c>
      <c r="D57" s="44">
        <v>1283.7319999570743</v>
      </c>
      <c r="E57" s="23"/>
      <c r="F57" s="46">
        <v>611.0886931517366</v>
      </c>
      <c r="G57" s="23"/>
      <c r="H57" s="85">
        <f aca="true" t="shared" si="15" ref="H57:H65">IF(D57&lt;&gt;0,F57/D57,0)</f>
        <v>0.4760251307688601</v>
      </c>
      <c r="I57" s="23"/>
      <c r="J57" s="54">
        <v>1.359485895130023</v>
      </c>
      <c r="K57" s="23"/>
      <c r="L57" s="46">
        <f aca="true" t="shared" si="16" ref="L57:L64">F57*J57</f>
        <v>830.7664590132247</v>
      </c>
      <c r="M57" s="23"/>
      <c r="N57" s="83">
        <f aca="true" t="shared" si="17" ref="N57:N65">IF(D57&lt;&gt;0,L57/D57,0)</f>
        <v>0.6471494510076901</v>
      </c>
      <c r="O57" s="4"/>
    </row>
    <row r="58" spans="1:15" ht="12.75" customHeight="1">
      <c r="A58" s="327"/>
      <c r="B58" s="364" t="s">
        <v>371</v>
      </c>
      <c r="C58" s="364" t="s">
        <v>372</v>
      </c>
      <c r="D58" s="44">
        <v>1283.7319999570743</v>
      </c>
      <c r="E58" s="23"/>
      <c r="F58" s="46">
        <v>50.7660311244767</v>
      </c>
      <c r="G58" s="23"/>
      <c r="H58" s="85">
        <f t="shared" si="15"/>
        <v>0.03954566149801845</v>
      </c>
      <c r="I58" s="23"/>
      <c r="J58" s="54">
        <v>1.5595101237373266</v>
      </c>
      <c r="K58" s="23"/>
      <c r="L58" s="46">
        <f t="shared" si="16"/>
        <v>79.17013948058563</v>
      </c>
      <c r="M58" s="23"/>
      <c r="N58" s="83">
        <f t="shared" si="17"/>
        <v>0.06167185945604919</v>
      </c>
      <c r="O58" s="4"/>
    </row>
    <row r="59" spans="1:15" ht="12.75" customHeight="1">
      <c r="A59" s="18"/>
      <c r="B59" s="327" t="s">
        <v>319</v>
      </c>
      <c r="C59" s="327" t="s">
        <v>377</v>
      </c>
      <c r="D59" s="44">
        <v>1283.7319999570743</v>
      </c>
      <c r="E59" s="23"/>
      <c r="F59" s="46">
        <v>21.261569083330787</v>
      </c>
      <c r="G59" s="23"/>
      <c r="H59" s="85">
        <f t="shared" si="15"/>
        <v>0.01656231135785486</v>
      </c>
      <c r="I59" s="23"/>
      <c r="J59" s="54">
        <v>1.5595101237373266</v>
      </c>
      <c r="K59" s="23"/>
      <c r="L59" s="46">
        <f t="shared" si="16"/>
        <v>33.15763223199491</v>
      </c>
      <c r="M59" s="23"/>
      <c r="N59" s="83">
        <f t="shared" si="17"/>
        <v>0.025829092235064362</v>
      </c>
      <c r="O59" s="4"/>
    </row>
    <row r="60" spans="1:15" ht="12.75" customHeight="1">
      <c r="A60" s="18"/>
      <c r="B60" s="327"/>
      <c r="C60" s="327" t="s">
        <v>378</v>
      </c>
      <c r="D60" s="44">
        <v>1283.7319999570743</v>
      </c>
      <c r="E60" s="23"/>
      <c r="F60" s="46">
        <v>71.75779565624141</v>
      </c>
      <c r="G60" s="23"/>
      <c r="H60" s="85">
        <f t="shared" si="15"/>
        <v>0.05589780083276016</v>
      </c>
      <c r="I60" s="23"/>
      <c r="J60" s="54">
        <v>1.5595101237373266</v>
      </c>
      <c r="K60" s="23"/>
      <c r="L60" s="46">
        <f t="shared" si="16"/>
        <v>111.90700878298284</v>
      </c>
      <c r="M60" s="23"/>
      <c r="N60" s="83">
        <f t="shared" si="17"/>
        <v>0.08717318629334224</v>
      </c>
      <c r="O60" s="4"/>
    </row>
    <row r="61" spans="1:15" ht="12.75" customHeight="1">
      <c r="A61" s="18"/>
      <c r="B61" s="327"/>
      <c r="C61" s="327" t="s">
        <v>379</v>
      </c>
      <c r="D61" s="44">
        <v>5.549104854099499</v>
      </c>
      <c r="E61" s="23"/>
      <c r="F61" s="46">
        <v>2.3095047501189887</v>
      </c>
      <c r="G61" s="23"/>
      <c r="H61" s="85">
        <f t="shared" si="15"/>
        <v>0.41619410893142544</v>
      </c>
      <c r="I61" s="23"/>
      <c r="J61" s="54">
        <v>1.5595101237373266</v>
      </c>
      <c r="K61" s="23"/>
      <c r="L61" s="46">
        <f t="shared" si="16"/>
        <v>3.6016960386300076</v>
      </c>
      <c r="M61" s="23"/>
      <c r="N61" s="83">
        <f t="shared" si="17"/>
        <v>0.6490589263183937</v>
      </c>
      <c r="O61" s="4"/>
    </row>
    <row r="62" spans="1:15" ht="12.75" customHeight="1">
      <c r="A62" s="18"/>
      <c r="B62" s="364" t="s">
        <v>371</v>
      </c>
      <c r="C62" s="364" t="s">
        <v>372</v>
      </c>
      <c r="D62" s="44">
        <v>1283.7319999570743</v>
      </c>
      <c r="E62" s="23"/>
      <c r="F62" s="46">
        <v>3.6261450803197635</v>
      </c>
      <c r="G62" s="23"/>
      <c r="H62" s="85">
        <f t="shared" si="15"/>
        <v>0.0028246901070013175</v>
      </c>
      <c r="I62" s="23"/>
      <c r="J62" s="54">
        <v>1.5595101237373266</v>
      </c>
      <c r="K62" s="23"/>
      <c r="L62" s="46">
        <f t="shared" si="16"/>
        <v>5.655009962898972</v>
      </c>
      <c r="M62" s="23"/>
      <c r="N62" s="83">
        <f t="shared" si="17"/>
        <v>0.004405132818289226</v>
      </c>
      <c r="O62" s="4"/>
    </row>
    <row r="63" spans="1:15" ht="12.75" customHeight="1">
      <c r="A63" s="18"/>
      <c r="B63" s="18" t="s">
        <v>138</v>
      </c>
      <c r="C63" s="327" t="s">
        <v>380</v>
      </c>
      <c r="D63" s="44">
        <v>1283.7319999570743</v>
      </c>
      <c r="E63" s="23"/>
      <c r="F63" s="46">
        <v>763.8608664396708</v>
      </c>
      <c r="G63" s="23"/>
      <c r="H63" s="85">
        <f t="shared" si="15"/>
        <v>0.5950314134610751</v>
      </c>
      <c r="I63" s="23"/>
      <c r="J63" s="54">
        <v>1.359485895130023</v>
      </c>
      <c r="K63" s="23"/>
      <c r="L63" s="46">
        <f t="shared" si="16"/>
        <v>1038.4580737665308</v>
      </c>
      <c r="M63" s="23"/>
      <c r="N63" s="83">
        <f t="shared" si="17"/>
        <v>0.8089368137596126</v>
      </c>
      <c r="O63" s="4"/>
    </row>
    <row r="64" spans="1:15" ht="12.75" customHeight="1">
      <c r="A64" s="283"/>
      <c r="B64" s="283" t="s">
        <v>138</v>
      </c>
      <c r="C64" s="430" t="s">
        <v>182</v>
      </c>
      <c r="D64" s="434">
        <v>91.69514285407674</v>
      </c>
      <c r="E64" s="435"/>
      <c r="F64" s="438">
        <v>7.344645778087892</v>
      </c>
      <c r="G64" s="435"/>
      <c r="H64" s="436">
        <f t="shared" si="15"/>
        <v>0.0800985259358408</v>
      </c>
      <c r="I64" s="435"/>
      <c r="J64" s="437">
        <v>1.4666301987498853</v>
      </c>
      <c r="K64" s="435"/>
      <c r="L64" s="438">
        <f t="shared" si="16"/>
        <v>10.771879297264551</v>
      </c>
      <c r="M64" s="435"/>
      <c r="N64" s="172">
        <f t="shared" si="17"/>
        <v>0.11747491701285502</v>
      </c>
      <c r="O64" s="4"/>
    </row>
    <row r="65" spans="1:15" ht="12.75" customHeight="1">
      <c r="A65" s="16"/>
      <c r="B65" s="23"/>
      <c r="C65" s="334"/>
      <c r="D65" s="44">
        <v>1283.7319999570743</v>
      </c>
      <c r="E65" s="23"/>
      <c r="F65" s="42">
        <f>SUM(F57:F64)</f>
        <v>1532.015251063983</v>
      </c>
      <c r="G65" s="23"/>
      <c r="H65" s="85">
        <f t="shared" si="15"/>
        <v>1.193407386522429</v>
      </c>
      <c r="I65" s="23"/>
      <c r="J65" s="23"/>
      <c r="K65" s="23"/>
      <c r="L65" s="42">
        <f>SUM(L57:L64)</f>
        <v>2113.4878985741125</v>
      </c>
      <c r="M65" s="23"/>
      <c r="N65" s="83">
        <f t="shared" si="17"/>
        <v>1.6463622458930554</v>
      </c>
      <c r="O65" s="4"/>
    </row>
    <row r="66" spans="1:15" ht="4.5" customHeight="1">
      <c r="A66" s="16"/>
      <c r="B66" s="23"/>
      <c r="C66" s="23"/>
      <c r="D66" s="23"/>
      <c r="E66" s="23"/>
      <c r="F66" s="23"/>
      <c r="G66" s="23"/>
      <c r="H66" s="23"/>
      <c r="I66" s="23"/>
      <c r="J66" s="23"/>
      <c r="K66" s="23"/>
      <c r="L66" s="23"/>
      <c r="M66" s="23"/>
      <c r="N66" s="83"/>
      <c r="O66" s="4"/>
    </row>
    <row r="67" spans="1:15" ht="12.75" customHeight="1">
      <c r="A67" s="16"/>
      <c r="B67" s="23"/>
      <c r="C67" s="23" t="s">
        <v>369</v>
      </c>
      <c r="D67" s="44">
        <f>SUM(D55,D65)</f>
        <v>14214.64362563584</v>
      </c>
      <c r="E67" s="23"/>
      <c r="F67" s="46">
        <f>SUM(F55,F65)</f>
        <v>16963.860699617773</v>
      </c>
      <c r="G67" s="23"/>
      <c r="H67" s="85">
        <f>IF(D67&lt;&gt;0,F67/D67,0)</f>
        <v>1.193407386522429</v>
      </c>
      <c r="I67" s="23"/>
      <c r="J67" s="23"/>
      <c r="K67" s="23"/>
      <c r="L67" s="46">
        <f>SUM(L55,L65)</f>
        <v>23402.452604071223</v>
      </c>
      <c r="M67" s="23"/>
      <c r="N67" s="83">
        <f>IF(D67&lt;&gt;0,L67/D67,0)</f>
        <v>1.6463622458930554</v>
      </c>
      <c r="O67" s="4"/>
    </row>
    <row r="68" spans="1:15" ht="12.75" customHeight="1">
      <c r="A68" s="16"/>
      <c r="B68" s="23"/>
      <c r="C68" s="23"/>
      <c r="D68" s="44"/>
      <c r="E68" s="23"/>
      <c r="F68" s="46"/>
      <c r="G68" s="23"/>
      <c r="H68" s="85"/>
      <c r="I68" s="23"/>
      <c r="J68" s="23"/>
      <c r="K68" s="23"/>
      <c r="L68" s="46"/>
      <c r="M68" s="23"/>
      <c r="N68" s="83"/>
      <c r="O68" s="4"/>
    </row>
    <row r="69" spans="1:15" ht="15.75" customHeight="1">
      <c r="A69" s="158" t="s">
        <v>90</v>
      </c>
      <c r="B69" s="23"/>
      <c r="C69" s="23"/>
      <c r="D69" s="44"/>
      <c r="E69" s="23"/>
      <c r="F69" s="46"/>
      <c r="G69" s="23"/>
      <c r="H69" s="85"/>
      <c r="I69" s="23"/>
      <c r="J69" s="23"/>
      <c r="K69" s="23"/>
      <c r="L69" s="46"/>
      <c r="M69" s="23"/>
      <c r="N69" s="83"/>
      <c r="O69" s="4"/>
    </row>
    <row r="70" spans="1:15" ht="15.75" customHeight="1">
      <c r="A70" s="158" t="s">
        <v>787</v>
      </c>
      <c r="B70" s="23"/>
      <c r="C70" s="23"/>
      <c r="D70" s="44"/>
      <c r="E70" s="23"/>
      <c r="F70" s="46"/>
      <c r="G70" s="23"/>
      <c r="H70" s="85"/>
      <c r="I70" s="23"/>
      <c r="J70" s="23"/>
      <c r="K70" s="23"/>
      <c r="L70" s="46"/>
      <c r="M70" s="23"/>
      <c r="N70" s="83"/>
      <c r="O70" s="4"/>
    </row>
    <row r="71" spans="1:15" ht="4.5" customHeight="1">
      <c r="A71" s="16"/>
      <c r="B71" s="23"/>
      <c r="C71" s="23"/>
      <c r="D71" s="23"/>
      <c r="E71" s="23"/>
      <c r="F71" s="23"/>
      <c r="G71" s="23"/>
      <c r="H71" s="23"/>
      <c r="I71" s="23"/>
      <c r="J71" s="23"/>
      <c r="K71" s="23"/>
      <c r="L71" s="23"/>
      <c r="M71" s="23"/>
      <c r="N71" s="83"/>
      <c r="O71" s="4"/>
    </row>
    <row r="72" spans="1:15" ht="12.75" customHeight="1">
      <c r="A72" s="91" t="s">
        <v>536</v>
      </c>
      <c r="B72" s="23"/>
      <c r="C72" s="334"/>
      <c r="D72" s="44"/>
      <c r="E72" s="23"/>
      <c r="F72" s="42"/>
      <c r="G72" s="23"/>
      <c r="H72" s="85"/>
      <c r="I72" s="23"/>
      <c r="J72" s="23"/>
      <c r="K72" s="23"/>
      <c r="L72" s="42"/>
      <c r="M72" s="23"/>
      <c r="N72" s="83"/>
      <c r="O72" s="4"/>
    </row>
    <row r="73" spans="1:15" ht="25.5" customHeight="1">
      <c r="A73" s="431" t="s">
        <v>356</v>
      </c>
      <c r="B73" s="431" t="s">
        <v>357</v>
      </c>
      <c r="C73" s="432" t="s">
        <v>364</v>
      </c>
      <c r="D73" s="160" t="s">
        <v>370</v>
      </c>
      <c r="E73" s="23"/>
      <c r="F73" s="189" t="s">
        <v>249</v>
      </c>
      <c r="G73" s="160"/>
      <c r="H73" s="183" t="s">
        <v>337</v>
      </c>
      <c r="I73" s="159"/>
      <c r="J73" s="160" t="s">
        <v>246</v>
      </c>
      <c r="K73" s="159"/>
      <c r="L73" s="160" t="s">
        <v>218</v>
      </c>
      <c r="M73" s="159"/>
      <c r="N73" s="160" t="s">
        <v>338</v>
      </c>
      <c r="O73" s="4"/>
    </row>
    <row r="74" spans="1:15" ht="12.75" customHeight="1">
      <c r="A74" s="11" t="s">
        <v>425</v>
      </c>
      <c r="B74" s="2" t="s">
        <v>530</v>
      </c>
      <c r="C74" s="188" t="s">
        <v>535</v>
      </c>
      <c r="D74" s="44">
        <f>'Table 3.26-REC Detail NonACS'!E43</f>
        <v>36972.984</v>
      </c>
      <c r="E74" s="20" t="s">
        <v>239</v>
      </c>
      <c r="F74" s="46">
        <f>'Table 3.26-REC Detail NonACS'!F43</f>
        <v>7573.731392273071</v>
      </c>
      <c r="G74" s="20" t="s">
        <v>239</v>
      </c>
      <c r="H74" s="85">
        <f>IF(D74&lt;&gt;0,F74/D74,0)</f>
        <v>0.2048450131120894</v>
      </c>
      <c r="I74" s="23"/>
      <c r="J74" s="228">
        <f>'Table 3.26-REC Detail NonACS'!I43</f>
        <v>1.3578241878020127</v>
      </c>
      <c r="K74" s="23"/>
      <c r="L74" s="46">
        <f>F74*J74</f>
        <v>10283.79567634379</v>
      </c>
      <c r="M74" s="23"/>
      <c r="N74" s="83">
        <f>IF(D74&lt;&gt;0,L74/D74,0)</f>
        <v>0.27814351355421546</v>
      </c>
      <c r="O74" s="4"/>
    </row>
    <row r="75" spans="1:15" ht="12.75" customHeight="1">
      <c r="A75" s="11" t="s">
        <v>426</v>
      </c>
      <c r="B75" s="2" t="s">
        <v>530</v>
      </c>
      <c r="C75" s="188" t="s">
        <v>535</v>
      </c>
      <c r="D75" s="44">
        <f>'Table 3.26-REC Detail NonACS'!E44</f>
        <v>14214.64362563584</v>
      </c>
      <c r="E75" s="20" t="s">
        <v>239</v>
      </c>
      <c r="F75" s="46">
        <f>'Table 3.26-REC Detail NonACS'!F44</f>
        <v>2911.798859877051</v>
      </c>
      <c r="G75" s="20" t="s">
        <v>239</v>
      </c>
      <c r="H75" s="85">
        <f>IF(D75&lt;&gt;0,F75/D75,0)</f>
        <v>0.20484501311208939</v>
      </c>
      <c r="I75" s="23"/>
      <c r="J75" s="228">
        <f>'Table 3.26-REC Detail NonACS'!I44</f>
        <v>1.3578241878020127</v>
      </c>
      <c r="K75" s="23"/>
      <c r="L75" s="46">
        <f>F75*J75</f>
        <v>3953.7109219553836</v>
      </c>
      <c r="M75" s="23"/>
      <c r="N75" s="83">
        <f>IF(D75&lt;&gt;0,L75/D75,0)</f>
        <v>0.2781435135542154</v>
      </c>
      <c r="O75" s="4"/>
    </row>
    <row r="76" spans="2:15" ht="12.75" customHeight="1">
      <c r="B76" s="2"/>
      <c r="C76" s="188"/>
      <c r="D76" s="44"/>
      <c r="E76" s="23"/>
      <c r="F76" s="46"/>
      <c r="G76" s="23"/>
      <c r="H76" s="85"/>
      <c r="I76" s="23"/>
      <c r="J76" s="228"/>
      <c r="K76" s="23"/>
      <c r="L76" s="46"/>
      <c r="M76" s="23"/>
      <c r="N76" s="83"/>
      <c r="O76" s="4"/>
    </row>
    <row r="77" spans="1:15" ht="12.75" customHeight="1">
      <c r="A77" s="16"/>
      <c r="B77" s="23"/>
      <c r="C77" s="334" t="s">
        <v>537</v>
      </c>
      <c r="D77" s="44">
        <f>D74</f>
        <v>36972.984</v>
      </c>
      <c r="E77" s="23"/>
      <c r="F77" s="46">
        <f>SUM(F74:F75)</f>
        <v>10485.530252150122</v>
      </c>
      <c r="G77" s="23"/>
      <c r="H77" s="85"/>
      <c r="I77" s="23"/>
      <c r="J77" s="23"/>
      <c r="K77" s="23"/>
      <c r="L77" s="46">
        <f>SUM(L74:L75)</f>
        <v>14237.506598299175</v>
      </c>
      <c r="M77" s="23"/>
      <c r="N77" s="83">
        <f>IF(D77&lt;&gt;0,L77/D77,0)</f>
        <v>0.38507864548609805</v>
      </c>
      <c r="O77" s="4"/>
    </row>
    <row r="78" spans="1:15" ht="12.75" customHeight="1">
      <c r="A78" s="16"/>
      <c r="B78" s="23"/>
      <c r="C78" s="23"/>
      <c r="D78" s="23"/>
      <c r="E78" s="23"/>
      <c r="F78" s="23"/>
      <c r="G78" s="23"/>
      <c r="H78" s="23"/>
      <c r="I78" s="23"/>
      <c r="J78" s="23"/>
      <c r="K78" s="23"/>
      <c r="L78" s="23"/>
      <c r="M78" s="23"/>
      <c r="N78" s="83"/>
      <c r="O78" s="4"/>
    </row>
    <row r="79" spans="1:15" ht="12.75" customHeight="1">
      <c r="A79" s="16"/>
      <c r="B79" s="23"/>
      <c r="C79" s="429" t="s">
        <v>269</v>
      </c>
      <c r="D79" s="44">
        <f>D40</f>
        <v>36972.984</v>
      </c>
      <c r="E79" s="23"/>
      <c r="F79" s="46">
        <f>SUM(F40,F67,F77)</f>
        <v>55235.031133674864</v>
      </c>
      <c r="G79" s="23"/>
      <c r="H79" s="85">
        <f>IF(D79&lt;&gt;0,F79/D79,0)</f>
        <v>1.493929490075101</v>
      </c>
      <c r="I79" s="23"/>
      <c r="J79" s="23"/>
      <c r="K79" s="23"/>
      <c r="L79" s="46">
        <f>SUM(L40,L67,L77)</f>
        <v>76069.7914422596</v>
      </c>
      <c r="M79" s="23"/>
      <c r="N79" s="83">
        <f>IF(D79&lt;&gt;0,L79/D79,0)</f>
        <v>2.0574425759700543</v>
      </c>
      <c r="O79" s="4"/>
    </row>
    <row r="80" spans="1:15" ht="12.75" hidden="1">
      <c r="A80" s="16"/>
      <c r="B80" s="23"/>
      <c r="C80" s="23"/>
      <c r="D80" s="23"/>
      <c r="E80" s="23"/>
      <c r="F80" s="23"/>
      <c r="G80" s="23"/>
      <c r="H80" s="23"/>
      <c r="I80" s="2"/>
      <c r="J80" s="23"/>
      <c r="K80" s="2"/>
      <c r="L80" s="2"/>
      <c r="M80" s="2"/>
      <c r="N80" s="83"/>
      <c r="O80" s="4"/>
    </row>
    <row r="81" spans="2:15" ht="12.75" hidden="1">
      <c r="B81" s="439"/>
      <c r="C81" s="127" t="s">
        <v>188</v>
      </c>
      <c r="D81" s="440">
        <v>0</v>
      </c>
      <c r="E81" s="4"/>
      <c r="F81" s="440">
        <v>0</v>
      </c>
      <c r="G81" s="439"/>
      <c r="H81" s="440">
        <v>0</v>
      </c>
      <c r="I81" s="2"/>
      <c r="J81" s="4"/>
      <c r="K81" s="2"/>
      <c r="L81" s="2"/>
      <c r="M81" s="2"/>
      <c r="N81" s="58"/>
      <c r="O81" s="4"/>
    </row>
    <row r="82" spans="2:15" ht="12.75" hidden="1">
      <c r="B82" s="439"/>
      <c r="C82" s="127" t="s">
        <v>188</v>
      </c>
      <c r="D82" s="440">
        <v>0</v>
      </c>
      <c r="E82" s="4"/>
      <c r="F82" s="440">
        <v>0</v>
      </c>
      <c r="G82" s="439"/>
      <c r="H82" s="440">
        <v>0</v>
      </c>
      <c r="I82" s="2"/>
      <c r="J82" s="4"/>
      <c r="K82" s="2"/>
      <c r="L82" s="2"/>
      <c r="M82" s="2"/>
      <c r="N82" s="58"/>
      <c r="O82" s="4"/>
    </row>
    <row r="83" spans="2:15" ht="12.75" hidden="1">
      <c r="B83" s="439"/>
      <c r="C83" s="127" t="s">
        <v>188</v>
      </c>
      <c r="D83" s="440">
        <v>0</v>
      </c>
      <c r="E83" s="4"/>
      <c r="F83" s="440">
        <v>0</v>
      </c>
      <c r="G83" s="439"/>
      <c r="H83" s="515"/>
      <c r="I83" s="2"/>
      <c r="J83" s="4"/>
      <c r="K83" s="2"/>
      <c r="L83" s="2"/>
      <c r="M83" s="2"/>
      <c r="N83" s="58"/>
      <c r="O83" s="4"/>
    </row>
    <row r="84" spans="1:3" ht="12.75">
      <c r="A84" s="141"/>
      <c r="B84" s="141"/>
      <c r="C84" s="141"/>
    </row>
    <row r="85" ht="12.75">
      <c r="A85" s="11" t="s">
        <v>235</v>
      </c>
    </row>
    <row r="86" spans="1:5" ht="12.75">
      <c r="A86" s="592" t="s">
        <v>796</v>
      </c>
      <c r="B86" s="593"/>
      <c r="C86" s="593"/>
      <c r="D86" s="25"/>
      <c r="E86" s="594"/>
    </row>
    <row r="87" spans="1:8" ht="12.75" customHeight="1">
      <c r="A87" s="25" t="s">
        <v>795</v>
      </c>
      <c r="D87" s="25"/>
      <c r="H87" s="90"/>
    </row>
    <row r="88" spans="1:3" ht="12.75" customHeight="1">
      <c r="A88" s="609" t="s">
        <v>94</v>
      </c>
      <c r="B88" s="610"/>
      <c r="C88" s="610"/>
    </row>
    <row r="89" spans="8:13" ht="12.75">
      <c r="H89" s="78"/>
      <c r="I89" s="462"/>
      <c r="J89" s="140"/>
      <c r="K89" s="462"/>
      <c r="L89" s="462"/>
      <c r="M89" s="462"/>
    </row>
  </sheetData>
  <sheetProtection/>
  <mergeCells count="1">
    <mergeCell ref="A88:C88"/>
  </mergeCells>
  <printOptions horizontalCentered="1"/>
  <pageMargins left="0.75" right="0.75" top="1" bottom="1" header="0.5" footer="0.5"/>
  <pageSetup fitToHeight="2" horizontalDpi="600" verticalDpi="600" orientation="landscape" scale="87" r:id="rId3"/>
  <headerFooter alignWithMargins="0">
    <oddFooter>&amp;L&amp;F</oddFooter>
  </headerFooter>
  <rowBreaks count="2" manualBreakCount="2">
    <brk id="41" max="13" man="1"/>
    <brk id="68" max="13" man="1"/>
  </rowBreaks>
  <legacyDrawing r:id="rId2"/>
</worksheet>
</file>

<file path=xl/worksheets/sheet15.xml><?xml version="1.0" encoding="utf-8"?>
<worksheet xmlns="http://schemas.openxmlformats.org/spreadsheetml/2006/main" xmlns:r="http://schemas.openxmlformats.org/officeDocument/2006/relationships">
  <dimension ref="A1:R124"/>
  <sheetViews>
    <sheetView zoomScale="70" zoomScaleNormal="70" zoomScalePageLayoutView="0" workbookViewId="0" topLeftCell="A1">
      <selection activeCell="A1" sqref="A1"/>
    </sheetView>
  </sheetViews>
  <sheetFormatPr defaultColWidth="9.140625" defaultRowHeight="12.75"/>
  <cols>
    <col min="1" max="1" width="43.28125" style="11" customWidth="1"/>
    <col min="2" max="2" width="11.7109375" style="62" customWidth="1"/>
    <col min="3" max="3" width="11.7109375" style="52" customWidth="1"/>
    <col min="4" max="4" width="11.7109375" style="53" customWidth="1"/>
    <col min="5" max="5" width="2.7109375" style="53" customWidth="1"/>
    <col min="6" max="6" width="11.7109375" style="64" customWidth="1"/>
    <col min="7" max="7" width="2.7109375" style="24" customWidth="1"/>
    <col min="8" max="8" width="11.7109375" style="11" customWidth="1"/>
    <col min="9" max="9" width="2.28125" style="24" customWidth="1"/>
    <col min="10" max="10" width="11.7109375" style="24" customWidth="1"/>
    <col min="11" max="11" width="11.7109375" style="64" customWidth="1"/>
    <col min="12" max="12" width="9.140625" style="11" customWidth="1"/>
    <col min="13" max="13" width="11.7109375" style="11" customWidth="1"/>
    <col min="14" max="14" width="11.140625" style="11" hidden="1" customWidth="1"/>
    <col min="15" max="18" width="0" style="11" hidden="1" customWidth="1"/>
    <col min="19" max="16384" width="9.140625" style="11" customWidth="1"/>
  </cols>
  <sheetData>
    <row r="1" ht="15.75" customHeight="1">
      <c r="A1" s="158" t="s">
        <v>62</v>
      </c>
    </row>
    <row r="2" ht="15.75" customHeight="1">
      <c r="A2" s="158" t="s">
        <v>787</v>
      </c>
    </row>
    <row r="3" spans="2:11" s="4" customFormat="1" ht="38.25">
      <c r="B3" s="189" t="s">
        <v>248</v>
      </c>
      <c r="C3" s="146" t="s">
        <v>249</v>
      </c>
      <c r="D3" s="168" t="s">
        <v>250</v>
      </c>
      <c r="E3" s="168"/>
      <c r="F3" s="169" t="s">
        <v>207</v>
      </c>
      <c r="G3" s="159"/>
      <c r="H3" s="190" t="s">
        <v>246</v>
      </c>
      <c r="I3" s="159"/>
      <c r="J3" s="189" t="s">
        <v>110</v>
      </c>
      <c r="K3" s="41" t="s">
        <v>133</v>
      </c>
    </row>
    <row r="4" spans="1:11" ht="12.75">
      <c r="A4" s="15" t="s">
        <v>283</v>
      </c>
      <c r="B4" s="65"/>
      <c r="C4" s="39"/>
      <c r="D4" s="37"/>
      <c r="E4" s="37"/>
      <c r="F4" s="38"/>
      <c r="G4" s="2"/>
      <c r="H4" s="66"/>
      <c r="I4" s="2"/>
      <c r="J4" s="2"/>
      <c r="K4" s="38"/>
    </row>
    <row r="5" spans="1:11" ht="4.5" customHeight="1">
      <c r="A5" s="49"/>
      <c r="B5" s="65"/>
      <c r="C5" s="39"/>
      <c r="D5" s="37"/>
      <c r="E5" s="37"/>
      <c r="F5" s="38"/>
      <c r="G5" s="2"/>
      <c r="H5" s="66"/>
      <c r="I5" s="2"/>
      <c r="J5" s="2"/>
      <c r="K5" s="38"/>
    </row>
    <row r="6" spans="1:11" ht="12.75">
      <c r="A6" s="82" t="s">
        <v>275</v>
      </c>
      <c r="B6" s="57"/>
      <c r="C6" s="67"/>
      <c r="D6" s="40"/>
      <c r="E6" s="40"/>
      <c r="F6" s="41"/>
      <c r="G6" s="43"/>
      <c r="H6" s="54"/>
      <c r="I6" s="68"/>
      <c r="J6" s="68"/>
      <c r="K6" s="41"/>
    </row>
    <row r="7" spans="1:16" ht="12.75">
      <c r="A7" s="337" t="s">
        <v>135</v>
      </c>
      <c r="B7" s="135">
        <v>951.5722072385953</v>
      </c>
      <c r="C7" s="46">
        <v>34989.84656019688</v>
      </c>
      <c r="D7" s="135">
        <v>640419.3260686237</v>
      </c>
      <c r="E7" s="135"/>
      <c r="F7" s="83">
        <f>C7/D7</f>
        <v>0.05463583801411946</v>
      </c>
      <c r="G7" s="159"/>
      <c r="H7" s="54">
        <v>1.3751805869654952</v>
      </c>
      <c r="I7" s="72"/>
      <c r="J7" s="46">
        <f>C7*H7</f>
        <v>48117.35773048415</v>
      </c>
      <c r="K7" s="83">
        <f>F7*(H7)</f>
        <v>0.07513414378960852</v>
      </c>
      <c r="N7" s="138">
        <f>B7-'Table 3.15-Route UAA NoPARS'!B7-'Table 3.16-Route UAA PARS'!B7</f>
        <v>0</v>
      </c>
      <c r="O7" s="138">
        <f>C7-'Table 3.15-Route UAA NoPARS'!C7-'Table 3.16-Route UAA PARS'!C7</f>
        <v>0</v>
      </c>
      <c r="P7" s="138">
        <f>D7-'Table 3.15-Route UAA NoPARS'!D7-'Table 3.16-Route UAA PARS'!D7</f>
        <v>0</v>
      </c>
    </row>
    <row r="8" spans="1:16" ht="12.75" customHeight="1">
      <c r="A8" s="338" t="s">
        <v>136</v>
      </c>
      <c r="B8" s="135">
        <v>344.98235705476816</v>
      </c>
      <c r="C8" s="46">
        <v>7484.957923699368</v>
      </c>
      <c r="D8" s="135">
        <v>240742.23073514475</v>
      </c>
      <c r="E8" s="135"/>
      <c r="F8" s="83">
        <f>C8/D8</f>
        <v>0.03109117125334785</v>
      </c>
      <c r="G8" s="159"/>
      <c r="H8" s="54">
        <v>1.2686565014544036</v>
      </c>
      <c r="I8" s="72"/>
      <c r="J8" s="46">
        <f>C8*H8</f>
        <v>9495.840533013856</v>
      </c>
      <c r="K8" s="83">
        <f>F8*(H8)</f>
        <v>0.03944401654839201</v>
      </c>
      <c r="N8" s="138">
        <f>B8-'Table 3.15-Route UAA NoPARS'!B8-'Table 3.16-Route UAA PARS'!B8</f>
        <v>0</v>
      </c>
      <c r="O8" s="138">
        <f>C8-'Table 3.15-Route UAA NoPARS'!C8-'Table 3.16-Route UAA PARS'!C8</f>
        <v>0</v>
      </c>
      <c r="P8" s="138">
        <f>D8-'Table 3.15-Route UAA NoPARS'!D8-'Table 3.16-Route UAA PARS'!D8</f>
        <v>0</v>
      </c>
    </row>
    <row r="9" spans="1:16" ht="12.75">
      <c r="A9" s="337" t="s">
        <v>137</v>
      </c>
      <c r="B9" s="135">
        <v>245.72281791161674</v>
      </c>
      <c r="C9" s="46">
        <v>6777.52257216918</v>
      </c>
      <c r="D9" s="135">
        <v>166556.37969602403</v>
      </c>
      <c r="E9" s="135"/>
      <c r="F9" s="83">
        <f>C9/D9</f>
        <v>0.040692062258669344</v>
      </c>
      <c r="G9" s="159"/>
      <c r="H9" s="54">
        <v>1.4666301987498853</v>
      </c>
      <c r="I9" s="48"/>
      <c r="J9" s="46">
        <f>C9*H9</f>
        <v>9940.11927705232</v>
      </c>
      <c r="K9" s="83">
        <f>F9*(H9)</f>
        <v>0.059680207357974926</v>
      </c>
      <c r="N9" s="138">
        <f>B9-'Table 3.15-Route UAA NoPARS'!B9-'Table 3.16-Route UAA PARS'!B9</f>
        <v>0</v>
      </c>
      <c r="O9" s="138">
        <f>C9-'Table 3.15-Route UAA NoPARS'!C9-'Table 3.16-Route UAA PARS'!C9</f>
        <v>0</v>
      </c>
      <c r="P9" s="138">
        <f>D9-'Table 3.15-Route UAA NoPARS'!D9-'Table 3.16-Route UAA PARS'!D9</f>
        <v>0</v>
      </c>
    </row>
    <row r="10" spans="1:16" ht="12.75">
      <c r="A10" s="337" t="s">
        <v>107</v>
      </c>
      <c r="B10" s="135">
        <v>6.483990103787246</v>
      </c>
      <c r="C10" s="46">
        <v>234.81056921954098</v>
      </c>
      <c r="D10" s="135">
        <v>4576.596138483345</v>
      </c>
      <c r="E10" s="135"/>
      <c r="F10" s="83">
        <f>C10/D10</f>
        <v>0.05130681452205999</v>
      </c>
      <c r="G10" s="159"/>
      <c r="H10" s="54">
        <v>1.2686565014544036</v>
      </c>
      <c r="I10" s="72"/>
      <c r="J10" s="46">
        <f>C10*H10</f>
        <v>297.8939552505799</v>
      </c>
      <c r="K10" s="83">
        <f>F10*(H10)</f>
        <v>0.06509072381232661</v>
      </c>
      <c r="N10" s="138">
        <f>B10-'Table 3.15-Route UAA NoPARS'!B10-'Table 3.16-Route UAA PARS'!B10</f>
        <v>0</v>
      </c>
      <c r="O10" s="138">
        <f>C10-'Table 3.15-Route UAA NoPARS'!C10-'Table 3.16-Route UAA PARS'!C10</f>
        <v>0</v>
      </c>
      <c r="P10" s="138">
        <f>D10-'Table 3.15-Route UAA NoPARS'!D10-'Table 3.16-Route UAA PARS'!D10</f>
        <v>0</v>
      </c>
    </row>
    <row r="11" spans="1:16" ht="12.75">
      <c r="A11" s="337" t="s">
        <v>277</v>
      </c>
      <c r="B11" s="135">
        <f>SUM(B7:B10)</f>
        <v>1548.7613723087675</v>
      </c>
      <c r="C11" s="46">
        <f>SUM(C7:C10)</f>
        <v>49487.137625284966</v>
      </c>
      <c r="D11" s="135">
        <f>SUM(D7:D10)</f>
        <v>1052294.5326382758</v>
      </c>
      <c r="E11" s="135"/>
      <c r="F11" s="83">
        <f>C11/D11</f>
        <v>0.04702783877553042</v>
      </c>
      <c r="G11" s="159"/>
      <c r="H11" s="54"/>
      <c r="I11" s="72"/>
      <c r="J11" s="46">
        <f>SUM(J7:J10)</f>
        <v>67851.2114958009</v>
      </c>
      <c r="K11" s="83">
        <f>SUMPRODUCT(K7:K10,D7:D10)/D11</f>
        <v>0.06447929680456169</v>
      </c>
      <c r="L11" s="84"/>
      <c r="N11" s="138">
        <f>B11-'Table 3.15-Route UAA NoPARS'!B11-'Table 3.16-Route UAA PARS'!B11</f>
        <v>0</v>
      </c>
      <c r="O11" s="138">
        <f>C11-'Table 3.15-Route UAA NoPARS'!C11-'Table 3.16-Route UAA PARS'!C11</f>
        <v>0</v>
      </c>
      <c r="P11" s="138">
        <f>D11-'Table 3.15-Route UAA NoPARS'!D11-'Table 3.16-Route UAA PARS'!D11</f>
        <v>0</v>
      </c>
    </row>
    <row r="12" spans="1:12" ht="4.5" customHeight="1">
      <c r="A12" s="21"/>
      <c r="B12" s="135"/>
      <c r="C12" s="46"/>
      <c r="D12" s="135"/>
      <c r="E12" s="135"/>
      <c r="F12" s="83"/>
      <c r="G12" s="159"/>
      <c r="H12" s="54"/>
      <c r="I12" s="72"/>
      <c r="J12" s="46"/>
      <c r="K12" s="83"/>
      <c r="L12" s="84"/>
    </row>
    <row r="13" spans="1:12" ht="12.75">
      <c r="A13" s="89" t="s">
        <v>383</v>
      </c>
      <c r="B13" s="135"/>
      <c r="C13" s="46"/>
      <c r="D13" s="135"/>
      <c r="E13" s="135"/>
      <c r="F13" s="83"/>
      <c r="G13" s="159"/>
      <c r="H13" s="54"/>
      <c r="I13" s="72"/>
      <c r="J13" s="46"/>
      <c r="K13" s="83"/>
      <c r="L13" s="84"/>
    </row>
    <row r="14" spans="1:16" ht="12.75">
      <c r="A14" s="337" t="s">
        <v>135</v>
      </c>
      <c r="B14" s="135">
        <v>82.67058248575714</v>
      </c>
      <c r="C14" s="46">
        <v>3043.256129996276</v>
      </c>
      <c r="D14" s="135">
        <v>55554.72969232928</v>
      </c>
      <c r="E14" s="135"/>
      <c r="F14" s="83">
        <f>C14/D14</f>
        <v>0.054779424665555944</v>
      </c>
      <c r="G14" s="159"/>
      <c r="H14" s="54">
        <v>1.3751805869654952</v>
      </c>
      <c r="I14" s="72"/>
      <c r="J14" s="46">
        <f>C14*H14</f>
        <v>4185.02675113462</v>
      </c>
      <c r="K14" s="83">
        <f>F14*(H14)</f>
        <v>0.07533160136521135</v>
      </c>
      <c r="L14" s="84"/>
      <c r="N14" s="138">
        <f>B14-'Table 3.15-Route UAA NoPARS'!B14-'Table 3.16-Route UAA PARS'!B14</f>
        <v>0</v>
      </c>
      <c r="O14" s="138">
        <f>C14-'Table 3.15-Route UAA NoPARS'!C14-'Table 3.16-Route UAA PARS'!C14</f>
        <v>0</v>
      </c>
      <c r="P14" s="138">
        <f>D14-'Table 3.15-Route UAA NoPARS'!D14-'Table 3.16-Route UAA PARS'!D14</f>
        <v>0</v>
      </c>
    </row>
    <row r="15" spans="1:16" ht="12.75">
      <c r="A15" s="338" t="s">
        <v>136</v>
      </c>
      <c r="B15" s="135">
        <v>45.42389541085209</v>
      </c>
      <c r="C15" s="46">
        <v>977.591988486772</v>
      </c>
      <c r="D15" s="135">
        <v>30911.960693618148</v>
      </c>
      <c r="E15" s="135"/>
      <c r="F15" s="83">
        <f>C15/D15</f>
        <v>0.03162503984060119</v>
      </c>
      <c r="G15" s="159"/>
      <c r="H15" s="54">
        <v>1.2686565014544036</v>
      </c>
      <c r="I15" s="72"/>
      <c r="J15" s="46">
        <f>C15*H15</f>
        <v>1240.2284319634819</v>
      </c>
      <c r="K15" s="83">
        <f>F15*(H15)</f>
        <v>0.040121312402533235</v>
      </c>
      <c r="L15" s="84"/>
      <c r="N15" s="138">
        <f>B15-'Table 3.15-Route UAA NoPARS'!B15-'Table 3.16-Route UAA PARS'!B15</f>
        <v>0</v>
      </c>
      <c r="O15" s="138">
        <f>C15-'Table 3.15-Route UAA NoPARS'!C15-'Table 3.16-Route UAA PARS'!C15</f>
        <v>0</v>
      </c>
      <c r="P15" s="138">
        <f>D15-'Table 3.15-Route UAA NoPARS'!D15-'Table 3.16-Route UAA PARS'!D15</f>
        <v>0</v>
      </c>
    </row>
    <row r="16" spans="1:16" ht="12.75">
      <c r="A16" s="337" t="s">
        <v>137</v>
      </c>
      <c r="B16" s="135">
        <v>25.38287098341289</v>
      </c>
      <c r="C16" s="46">
        <v>476.4084309169324</v>
      </c>
      <c r="D16" s="135">
        <v>12239.263603231333</v>
      </c>
      <c r="E16" s="135"/>
      <c r="F16" s="83">
        <f>C16/D16</f>
        <v>0.03892459925376181</v>
      </c>
      <c r="G16" s="159"/>
      <c r="H16" s="54">
        <v>1.4666301987498853</v>
      </c>
      <c r="I16" s="72"/>
      <c r="J16" s="46">
        <f>C16*H16</f>
        <v>698.7149917218215</v>
      </c>
      <c r="K16" s="83">
        <f>F16*(H16)</f>
        <v>0.05708799273980432</v>
      </c>
      <c r="L16" s="84"/>
      <c r="N16" s="138">
        <f>B16-'Table 3.15-Route UAA NoPARS'!B16-'Table 3.16-Route UAA PARS'!B16</f>
        <v>0</v>
      </c>
      <c r="O16" s="138">
        <f>C16-'Table 3.15-Route UAA NoPARS'!C16-'Table 3.16-Route UAA PARS'!C16</f>
        <v>0</v>
      </c>
      <c r="P16" s="138">
        <f>D16-'Table 3.15-Route UAA NoPARS'!D16-'Table 3.16-Route UAA PARS'!D16</f>
        <v>0</v>
      </c>
    </row>
    <row r="17" spans="1:16" ht="12.75" customHeight="1">
      <c r="A17" s="337" t="s">
        <v>107</v>
      </c>
      <c r="B17" s="135">
        <v>0.8526569432476147</v>
      </c>
      <c r="C17" s="46">
        <v>30.878033277074792</v>
      </c>
      <c r="D17" s="135">
        <v>588.2585917536778</v>
      </c>
      <c r="E17" s="135"/>
      <c r="F17" s="83">
        <f>C17/D17</f>
        <v>0.0524905776301936</v>
      </c>
      <c r="G17" s="159"/>
      <c r="H17" s="54">
        <v>1.2686565014544036</v>
      </c>
      <c r="I17" s="72"/>
      <c r="J17" s="46">
        <f>C17*H17</f>
        <v>39.173617669086354</v>
      </c>
      <c r="K17" s="83">
        <f>F17*(H17)</f>
        <v>0.0665925125756422</v>
      </c>
      <c r="L17" s="84"/>
      <c r="N17" s="138">
        <f>B17-'Table 3.15-Route UAA NoPARS'!B17-'Table 3.16-Route UAA PARS'!B17</f>
        <v>0</v>
      </c>
      <c r="O17" s="138">
        <f>C17-'Table 3.15-Route UAA NoPARS'!C17-'Table 3.16-Route UAA PARS'!C17</f>
        <v>0</v>
      </c>
      <c r="P17" s="138">
        <f>D17-'Table 3.15-Route UAA NoPARS'!D17-'Table 3.16-Route UAA PARS'!D17</f>
        <v>0</v>
      </c>
    </row>
    <row r="18" spans="1:16" ht="12.75">
      <c r="A18" s="337" t="s">
        <v>277</v>
      </c>
      <c r="B18" s="135">
        <f>SUM(B14:B17)</f>
        <v>154.33000582326972</v>
      </c>
      <c r="C18" s="46">
        <f>SUM(C14:C17)</f>
        <v>4528.134582677055</v>
      </c>
      <c r="D18" s="135">
        <f>SUM(D14:D17)</f>
        <v>99294.21258093244</v>
      </c>
      <c r="E18" s="135"/>
      <c r="F18" s="83">
        <f>C18/D18</f>
        <v>0.04560320752819583</v>
      </c>
      <c r="G18" s="159"/>
      <c r="H18" s="54"/>
      <c r="I18" s="72"/>
      <c r="J18" s="46">
        <f>SUM(J14:J17)</f>
        <v>6163.14379248901</v>
      </c>
      <c r="K18" s="83">
        <f>SUMPRODUCT(K14:K17,D14:D17)/D18</f>
        <v>0.06206951676529559</v>
      </c>
      <c r="L18" s="84"/>
      <c r="N18" s="138">
        <f>B18-'Table 3.15-Route UAA NoPARS'!B18-'Table 3.16-Route UAA PARS'!B18</f>
        <v>0</v>
      </c>
      <c r="O18" s="138">
        <f>C18-'Table 3.15-Route UAA NoPARS'!C18-'Table 3.16-Route UAA PARS'!C18</f>
        <v>0</v>
      </c>
      <c r="P18" s="138">
        <f>D18-'Table 3.15-Route UAA NoPARS'!D18-'Table 3.16-Route UAA PARS'!D18</f>
        <v>0</v>
      </c>
    </row>
    <row r="19" spans="1:12" ht="4.5" customHeight="1">
      <c r="A19" s="81"/>
      <c r="B19" s="135"/>
      <c r="C19" s="135"/>
      <c r="D19" s="135"/>
      <c r="E19" s="135"/>
      <c r="F19" s="83"/>
      <c r="G19" s="159"/>
      <c r="H19" s="54"/>
      <c r="I19" s="72"/>
      <c r="J19" s="46"/>
      <c r="K19" s="83"/>
      <c r="L19" s="84"/>
    </row>
    <row r="20" spans="1:12" ht="12.75" customHeight="1">
      <c r="A20" s="89" t="s">
        <v>384</v>
      </c>
      <c r="B20" s="135"/>
      <c r="C20" s="135"/>
      <c r="D20" s="135"/>
      <c r="E20" s="135"/>
      <c r="F20" s="83"/>
      <c r="G20" s="159"/>
      <c r="H20" s="54"/>
      <c r="I20" s="72"/>
      <c r="J20" s="46"/>
      <c r="K20" s="83"/>
      <c r="L20" s="84"/>
    </row>
    <row r="21" spans="1:16" ht="12.75" customHeight="1">
      <c r="A21" s="337" t="s">
        <v>135</v>
      </c>
      <c r="B21" s="135">
        <v>263.5658847417042</v>
      </c>
      <c r="C21" s="46">
        <v>9338.999636067898</v>
      </c>
      <c r="D21" s="135">
        <v>142134.2919472625</v>
      </c>
      <c r="E21" s="135"/>
      <c r="F21" s="83">
        <f>C21/D21</f>
        <v>0.06570546423471853</v>
      </c>
      <c r="G21" s="159"/>
      <c r="H21" s="54">
        <v>1.3751805869654952</v>
      </c>
      <c r="I21" s="72"/>
      <c r="J21" s="46">
        <f>C21*H21</f>
        <v>12842.811001198397</v>
      </c>
      <c r="K21" s="83">
        <f>F21*(H21)</f>
        <v>0.09035687887314058</v>
      </c>
      <c r="L21" s="84"/>
      <c r="N21" s="138">
        <f>B21-'Table 3.15-Route UAA NoPARS'!B21-'Table 3.16-Route UAA PARS'!B21</f>
        <v>0</v>
      </c>
      <c r="O21" s="138">
        <f>C21-'Table 3.15-Route UAA NoPARS'!C21-'Table 3.16-Route UAA PARS'!C21</f>
        <v>0</v>
      </c>
      <c r="P21" s="138">
        <f>D21-'Table 3.15-Route UAA NoPARS'!D21-'Table 3.16-Route UAA PARS'!D21</f>
        <v>0</v>
      </c>
    </row>
    <row r="22" spans="1:16" ht="12.75" customHeight="1">
      <c r="A22" s="338" t="s">
        <v>136</v>
      </c>
      <c r="B22" s="135">
        <v>95.57044296940795</v>
      </c>
      <c r="C22" s="46">
        <v>2457.572441971575</v>
      </c>
      <c r="D22" s="135">
        <v>57866.4557477724</v>
      </c>
      <c r="E22" s="135"/>
      <c r="F22" s="83">
        <f>C22/D22</f>
        <v>0.04246972464813832</v>
      </c>
      <c r="G22" s="159"/>
      <c r="H22" s="54">
        <v>1.2686565014544036</v>
      </c>
      <c r="I22" s="72"/>
      <c r="J22" s="46">
        <f>C22*H22</f>
        <v>3117.815256302413</v>
      </c>
      <c r="K22" s="83">
        <f>F22*(H22)</f>
        <v>0.053879492289839015</v>
      </c>
      <c r="L22" s="84"/>
      <c r="N22" s="138">
        <f>B22-'Table 3.15-Route UAA NoPARS'!B22-'Table 3.16-Route UAA PARS'!B22</f>
        <v>0</v>
      </c>
      <c r="O22" s="138">
        <f>C22-'Table 3.15-Route UAA NoPARS'!C22-'Table 3.16-Route UAA PARS'!C22</f>
        <v>0</v>
      </c>
      <c r="P22" s="138">
        <f>D22-'Table 3.15-Route UAA NoPARS'!D22-'Table 3.16-Route UAA PARS'!D22</f>
        <v>0</v>
      </c>
    </row>
    <row r="23" spans="1:16" ht="12.75" customHeight="1">
      <c r="A23" s="337" t="s">
        <v>137</v>
      </c>
      <c r="B23" s="135">
        <v>48.74910098843141</v>
      </c>
      <c r="C23" s="46">
        <v>1503.7061395777798</v>
      </c>
      <c r="D23" s="135">
        <v>29410.52796722386</v>
      </c>
      <c r="E23" s="135"/>
      <c r="F23" s="83">
        <f>C23/D23</f>
        <v>0.05112815863943563</v>
      </c>
      <c r="G23" s="159"/>
      <c r="H23" s="54">
        <v>1.4666301987498853</v>
      </c>
      <c r="I23" s="72"/>
      <c r="J23" s="46">
        <f>C23*H23</f>
        <v>2205.380834350382</v>
      </c>
      <c r="K23" s="83">
        <f>F23*(H23)</f>
        <v>0.07498610146707115</v>
      </c>
      <c r="L23" s="84"/>
      <c r="N23" s="138">
        <f>B23-'Table 3.15-Route UAA NoPARS'!B23-'Table 3.16-Route UAA PARS'!B23</f>
        <v>0</v>
      </c>
      <c r="O23" s="138">
        <f>C23-'Table 3.15-Route UAA NoPARS'!C23-'Table 3.16-Route UAA PARS'!C23</f>
        <v>0</v>
      </c>
      <c r="P23" s="138">
        <f>D23-'Table 3.15-Route UAA NoPARS'!D23-'Table 3.16-Route UAA PARS'!D23</f>
        <v>0</v>
      </c>
    </row>
    <row r="24" spans="1:16" ht="12.75" customHeight="1">
      <c r="A24" s="337" t="s">
        <v>107</v>
      </c>
      <c r="B24" s="135">
        <v>0.684229641798707</v>
      </c>
      <c r="C24" s="46">
        <v>24.7786238251342</v>
      </c>
      <c r="D24" s="135">
        <v>472.05850923768554</v>
      </c>
      <c r="E24" s="135"/>
      <c r="F24" s="83">
        <f>C24/D24</f>
        <v>0.05249057763019361</v>
      </c>
      <c r="G24" s="159"/>
      <c r="H24" s="54">
        <v>1.2686565014544036</v>
      </c>
      <c r="I24" s="72"/>
      <c r="J24" s="46">
        <f>C24*H24</f>
        <v>31.435562212849486</v>
      </c>
      <c r="K24" s="83">
        <f>F24*(H24)</f>
        <v>0.06659251257564221</v>
      </c>
      <c r="L24" s="84"/>
      <c r="N24" s="138">
        <f>B24-'Table 3.15-Route UAA NoPARS'!B24-'Table 3.16-Route UAA PARS'!B24</f>
        <v>0</v>
      </c>
      <c r="O24" s="138">
        <f>C24-'Table 3.15-Route UAA NoPARS'!C24-'Table 3.16-Route UAA PARS'!C24</f>
        <v>0</v>
      </c>
      <c r="P24" s="138">
        <f>D24-'Table 3.15-Route UAA NoPARS'!D24-'Table 3.16-Route UAA PARS'!D24</f>
        <v>0</v>
      </c>
    </row>
    <row r="25" spans="1:16" ht="12.75" customHeight="1">
      <c r="A25" s="337" t="s">
        <v>277</v>
      </c>
      <c r="B25" s="135">
        <f>SUM(B21:B24)</f>
        <v>408.5696583413423</v>
      </c>
      <c r="C25" s="46">
        <f>SUM(C21:C24)</f>
        <v>13325.056841442387</v>
      </c>
      <c r="D25" s="135">
        <f>SUM(D21:D24)</f>
        <v>229883.33417149645</v>
      </c>
      <c r="E25" s="135"/>
      <c r="F25" s="83">
        <f>C25/D25</f>
        <v>0.05796443178217388</v>
      </c>
      <c r="G25" s="159"/>
      <c r="H25" s="54"/>
      <c r="I25" s="72"/>
      <c r="J25" s="46">
        <f>SUM(J21:J24)</f>
        <v>18197.44265406404</v>
      </c>
      <c r="K25" s="83">
        <f>SUMPRODUCT(K21:K24,D21:D24)/D25</f>
        <v>0.07915946895257957</v>
      </c>
      <c r="L25" s="84"/>
      <c r="N25" s="138">
        <f>B25-'Table 3.15-Route UAA NoPARS'!B25-'Table 3.16-Route UAA PARS'!B25</f>
        <v>0</v>
      </c>
      <c r="O25" s="138">
        <f>C25-'Table 3.15-Route UAA NoPARS'!C25-'Table 3.16-Route UAA PARS'!C25</f>
        <v>0</v>
      </c>
      <c r="P25" s="138">
        <f>D25-'Table 3.15-Route UAA NoPARS'!D25-'Table 3.16-Route UAA PARS'!D25</f>
        <v>0</v>
      </c>
    </row>
    <row r="26" spans="1:12" ht="4.5" customHeight="1">
      <c r="A26" s="81"/>
      <c r="B26" s="135"/>
      <c r="C26" s="135"/>
      <c r="D26" s="135"/>
      <c r="E26" s="135"/>
      <c r="F26" s="83"/>
      <c r="G26" s="159"/>
      <c r="H26" s="54"/>
      <c r="I26" s="72"/>
      <c r="J26" s="46"/>
      <c r="K26" s="83"/>
      <c r="L26" s="84"/>
    </row>
    <row r="27" spans="1:12" ht="12.75" customHeight="1">
      <c r="A27" s="21" t="s">
        <v>276</v>
      </c>
      <c r="B27" s="135"/>
      <c r="C27" s="135"/>
      <c r="D27" s="135"/>
      <c r="E27" s="135"/>
      <c r="F27" s="83"/>
      <c r="G27" s="159"/>
      <c r="H27" s="54"/>
      <c r="I27" s="72"/>
      <c r="J27" s="46"/>
      <c r="K27" s="83"/>
      <c r="L27" s="84"/>
    </row>
    <row r="28" spans="1:16" ht="12.75" customHeight="1">
      <c r="A28" s="337" t="s">
        <v>135</v>
      </c>
      <c r="B28" s="135">
        <v>39.41529772602679</v>
      </c>
      <c r="C28" s="46">
        <v>1365.6681209022252</v>
      </c>
      <c r="D28" s="135">
        <v>28910.66423623834</v>
      </c>
      <c r="E28" s="135"/>
      <c r="F28" s="83">
        <f>C28/D28</f>
        <v>0.0472375214122689</v>
      </c>
      <c r="G28" s="159"/>
      <c r="H28" s="54">
        <v>1.3751805869654952</v>
      </c>
      <c r="I28" s="72"/>
      <c r="J28" s="46">
        <f>C28*H28</f>
        <v>1878.0402881023867</v>
      </c>
      <c r="K28" s="83">
        <f>F28*(H28)</f>
        <v>0.06496012242251908</v>
      </c>
      <c r="L28" s="84"/>
      <c r="N28" s="138">
        <f>B28-'Table 3.15-Route UAA NoPARS'!B28-'Table 3.16-Route UAA PARS'!B28</f>
        <v>0</v>
      </c>
      <c r="O28" s="138">
        <f>C28-'Table 3.15-Route UAA NoPARS'!C28-'Table 3.16-Route UAA PARS'!C28</f>
        <v>0</v>
      </c>
      <c r="P28" s="138">
        <f>D28-'Table 3.15-Route UAA NoPARS'!D28-'Table 3.16-Route UAA PARS'!D28</f>
        <v>0</v>
      </c>
    </row>
    <row r="29" spans="1:16" ht="12.75" customHeight="1">
      <c r="A29" s="338" t="s">
        <v>136</v>
      </c>
      <c r="B29" s="135">
        <v>20.519014644063454</v>
      </c>
      <c r="C29" s="46">
        <v>431.05928388120503</v>
      </c>
      <c r="D29" s="135">
        <v>14816.847989113332</v>
      </c>
      <c r="E29" s="135"/>
      <c r="F29" s="83">
        <f>C29/D29</f>
        <v>0.02909250902742105</v>
      </c>
      <c r="G29" s="159"/>
      <c r="H29" s="54">
        <v>1.2686565014544036</v>
      </c>
      <c r="I29" s="72"/>
      <c r="J29" s="46">
        <f>C29*H29</f>
        <v>546.8661630081701</v>
      </c>
      <c r="K29" s="83">
        <f>F29*(H29)</f>
        <v>0.036908400721258644</v>
      </c>
      <c r="L29" s="84"/>
      <c r="N29" s="138">
        <f>B29-'Table 3.15-Route UAA NoPARS'!B29-'Table 3.16-Route UAA PARS'!B29</f>
        <v>0</v>
      </c>
      <c r="O29" s="138">
        <f>C29-'Table 3.15-Route UAA NoPARS'!C29-'Table 3.16-Route UAA PARS'!C29</f>
        <v>0</v>
      </c>
      <c r="P29" s="138">
        <f>D29-'Table 3.15-Route UAA NoPARS'!D29-'Table 3.16-Route UAA PARS'!D29</f>
        <v>0</v>
      </c>
    </row>
    <row r="30" spans="1:16" ht="12.75" customHeight="1">
      <c r="A30" s="337" t="s">
        <v>137</v>
      </c>
      <c r="B30" s="135">
        <v>13.467297551891669</v>
      </c>
      <c r="C30" s="46">
        <v>727.9326274917998</v>
      </c>
      <c r="D30" s="135">
        <v>8696.937785106653</v>
      </c>
      <c r="E30" s="135"/>
      <c r="F30" s="83">
        <f>C30/D30</f>
        <v>0.08369987752911964</v>
      </c>
      <c r="G30" s="159"/>
      <c r="H30" s="54">
        <v>1.4666301987498853</v>
      </c>
      <c r="I30" s="72"/>
      <c r="J30" s="46">
        <f>C30*H30</f>
        <v>1067.6079741348246</v>
      </c>
      <c r="K30" s="83">
        <f>F30*(H30)</f>
        <v>0.1227567680158738</v>
      </c>
      <c r="L30" s="84"/>
      <c r="N30" s="138">
        <f>B30-'Table 3.15-Route UAA NoPARS'!B30-'Table 3.16-Route UAA PARS'!B30</f>
        <v>0</v>
      </c>
      <c r="O30" s="138">
        <f>C30-'Table 3.15-Route UAA NoPARS'!C30-'Table 3.16-Route UAA PARS'!C30</f>
        <v>0</v>
      </c>
      <c r="P30" s="138">
        <f>D30-'Table 3.15-Route UAA NoPARS'!D30-'Table 3.16-Route UAA PARS'!D30</f>
        <v>0</v>
      </c>
    </row>
    <row r="31" spans="1:16" ht="12.75" customHeight="1">
      <c r="A31" s="337" t="s">
        <v>107</v>
      </c>
      <c r="B31" s="135">
        <v>0.15404028118389043</v>
      </c>
      <c r="C31" s="46">
        <v>5.578399338765291</v>
      </c>
      <c r="D31" s="135">
        <v>117.65944656035016</v>
      </c>
      <c r="E31" s="135"/>
      <c r="F31" s="83">
        <f>C31/D31</f>
        <v>0.04741140215974078</v>
      </c>
      <c r="G31" s="159"/>
      <c r="H31" s="54">
        <v>1.2686565014544036</v>
      </c>
      <c r="I31" s="72"/>
      <c r="J31" s="46">
        <f>C31*H31</f>
        <v>7.0770725888335315</v>
      </c>
      <c r="K31" s="83">
        <f>F31*(H31)</f>
        <v>0.060148783593024495</v>
      </c>
      <c r="L31" s="84"/>
      <c r="N31" s="138">
        <f>B31-'Table 3.15-Route UAA NoPARS'!B31-'Table 3.16-Route UAA PARS'!B31</f>
        <v>0</v>
      </c>
      <c r="O31" s="138">
        <f>C31-'Table 3.15-Route UAA NoPARS'!C31-'Table 3.16-Route UAA PARS'!C31</f>
        <v>0</v>
      </c>
      <c r="P31" s="138">
        <f>D31-'Table 3.15-Route UAA NoPARS'!D31-'Table 3.16-Route UAA PARS'!D31</f>
        <v>0</v>
      </c>
    </row>
    <row r="32" spans="1:16" ht="12.75" customHeight="1">
      <c r="A32" s="337" t="s">
        <v>277</v>
      </c>
      <c r="B32" s="135">
        <f>SUM(B28:B31)</f>
        <v>73.55565020316581</v>
      </c>
      <c r="C32" s="46">
        <f>SUM(C28:C31)</f>
        <v>2530.2384316139955</v>
      </c>
      <c r="D32" s="135">
        <f>SUM(D28:D31)</f>
        <v>52542.109457018676</v>
      </c>
      <c r="E32" s="135"/>
      <c r="F32" s="83">
        <f>C32/D32</f>
        <v>0.048156392230194356</v>
      </c>
      <c r="G32" s="159"/>
      <c r="H32" s="54"/>
      <c r="I32" s="72"/>
      <c r="J32" s="46">
        <f>SUM(J28:J31)</f>
        <v>3499.5914978342157</v>
      </c>
      <c r="K32" s="83">
        <f>SUMPRODUCT(K28:K31,D28:D31)/D32</f>
        <v>0.0666054624376474</v>
      </c>
      <c r="L32" s="84"/>
      <c r="N32" s="138">
        <f>B32-'Table 3.15-Route UAA NoPARS'!B32-'Table 3.16-Route UAA PARS'!B32</f>
        <v>0</v>
      </c>
      <c r="O32" s="138">
        <f>C32-'Table 3.15-Route UAA NoPARS'!C32-'Table 3.16-Route UAA PARS'!C32</f>
        <v>0</v>
      </c>
      <c r="P32" s="138">
        <f>D32-'Table 3.15-Route UAA NoPARS'!D32-'Table 3.16-Route UAA PARS'!D32</f>
        <v>0</v>
      </c>
    </row>
    <row r="33" spans="1:12" ht="4.5" customHeight="1">
      <c r="A33" s="81"/>
      <c r="B33" s="135"/>
      <c r="C33" s="46"/>
      <c r="D33" s="135"/>
      <c r="E33" s="135"/>
      <c r="F33" s="83"/>
      <c r="G33" s="159"/>
      <c r="H33" s="54"/>
      <c r="I33" s="72"/>
      <c r="J33" s="46"/>
      <c r="K33" s="83"/>
      <c r="L33" s="84"/>
    </row>
    <row r="34" spans="1:12" ht="12.75" customHeight="1">
      <c r="A34" s="89" t="s">
        <v>288</v>
      </c>
      <c r="B34" s="135"/>
      <c r="C34" s="46"/>
      <c r="D34" s="135"/>
      <c r="E34" s="135"/>
      <c r="F34" s="83"/>
      <c r="G34" s="159"/>
      <c r="H34" s="54"/>
      <c r="I34" s="72"/>
      <c r="J34" s="46"/>
      <c r="K34" s="83"/>
      <c r="L34" s="84"/>
    </row>
    <row r="35" spans="1:16" ht="12.75">
      <c r="A35" s="337" t="s">
        <v>135</v>
      </c>
      <c r="B35" s="135">
        <f aca="true" t="shared" si="0" ref="B35:D38">SUM(B7,B14,B21,B28)</f>
        <v>1337.2239721920835</v>
      </c>
      <c r="C35" s="46">
        <f t="shared" si="0"/>
        <v>48737.77044716328</v>
      </c>
      <c r="D35" s="135">
        <f t="shared" si="0"/>
        <v>867019.0119444538</v>
      </c>
      <c r="E35" s="135"/>
      <c r="F35" s="83">
        <f>C35/D35</f>
        <v>0.056213035441817626</v>
      </c>
      <c r="G35" s="159"/>
      <c r="H35" s="54">
        <v>1.3751805869654952</v>
      </c>
      <c r="I35" s="72"/>
      <c r="J35" s="46">
        <f>SUM(J7,J14,J21,J28)</f>
        <v>67023.23577091955</v>
      </c>
      <c r="K35" s="83">
        <f>F35*(H35)</f>
        <v>0.07730307507399095</v>
      </c>
      <c r="L35" s="84"/>
      <c r="N35" s="138">
        <f>B35-'Table 3.15-Route UAA NoPARS'!B35-'Table 3.16-Route UAA PARS'!B35</f>
        <v>0</v>
      </c>
      <c r="O35" s="138">
        <f>C35-'Table 3.15-Route UAA NoPARS'!C35-'Table 3.16-Route UAA PARS'!C35</f>
        <v>0</v>
      </c>
      <c r="P35" s="138">
        <f>D35-'Table 3.15-Route UAA NoPARS'!D35-'Table 3.16-Route UAA PARS'!D35</f>
        <v>0</v>
      </c>
    </row>
    <row r="36" spans="1:16" ht="12.75">
      <c r="A36" s="338" t="s">
        <v>136</v>
      </c>
      <c r="B36" s="135">
        <f t="shared" si="0"/>
        <v>506.4957100790917</v>
      </c>
      <c r="C36" s="46">
        <f t="shared" si="0"/>
        <v>11351.18163803892</v>
      </c>
      <c r="D36" s="135">
        <f t="shared" si="0"/>
        <v>344337.49516564864</v>
      </c>
      <c r="E36" s="135"/>
      <c r="F36" s="83">
        <f>C36/D36</f>
        <v>0.0329652791154163</v>
      </c>
      <c r="G36" s="159"/>
      <c r="H36" s="54">
        <v>1.2686565014544036</v>
      </c>
      <c r="I36" s="72"/>
      <c r="J36" s="46">
        <f>SUM(J8,J15,J22,J29)</f>
        <v>14400.75038428792</v>
      </c>
      <c r="K36" s="83">
        <f>F36*(H36)</f>
        <v>0.04182161567203196</v>
      </c>
      <c r="L36" s="84"/>
      <c r="N36" s="138">
        <f>B36-'Table 3.15-Route UAA NoPARS'!B36-'Table 3.16-Route UAA PARS'!B36</f>
        <v>0</v>
      </c>
      <c r="O36" s="138">
        <f>C36-'Table 3.15-Route UAA NoPARS'!C36-'Table 3.16-Route UAA PARS'!C36</f>
        <v>0</v>
      </c>
      <c r="P36" s="138">
        <f>D36-'Table 3.15-Route UAA NoPARS'!D36-'Table 3.16-Route UAA PARS'!D36</f>
        <v>0</v>
      </c>
    </row>
    <row r="37" spans="1:16" ht="12.75">
      <c r="A37" s="337" t="s">
        <v>137</v>
      </c>
      <c r="B37" s="135">
        <f t="shared" si="0"/>
        <v>333.32208743535267</v>
      </c>
      <c r="C37" s="46">
        <f t="shared" si="0"/>
        <v>9485.569770155693</v>
      </c>
      <c r="D37" s="135">
        <f t="shared" si="0"/>
        <v>216903.1090515859</v>
      </c>
      <c r="E37" s="135"/>
      <c r="F37" s="83">
        <f>C37/D37</f>
        <v>0.043731829440488784</v>
      </c>
      <c r="G37" s="159"/>
      <c r="H37" s="54">
        <v>1.4666301987498853</v>
      </c>
      <c r="I37" s="72"/>
      <c r="J37" s="46">
        <f>SUM(J9,J16,J23,J30)</f>
        <v>13911.823077259347</v>
      </c>
      <c r="K37" s="83">
        <f>F37*(H37)</f>
        <v>0.06413842170400015</v>
      </c>
      <c r="L37" s="84"/>
      <c r="N37" s="138">
        <f>B37-'Table 3.15-Route UAA NoPARS'!B37-'Table 3.16-Route UAA PARS'!B37</f>
        <v>0</v>
      </c>
      <c r="O37" s="138">
        <f>C37-'Table 3.15-Route UAA NoPARS'!C37-'Table 3.16-Route UAA PARS'!C37</f>
        <v>0</v>
      </c>
      <c r="P37" s="138">
        <f>D37-'Table 3.15-Route UAA NoPARS'!D37-'Table 3.16-Route UAA PARS'!D37</f>
        <v>0</v>
      </c>
    </row>
    <row r="38" spans="1:16" ht="12.75">
      <c r="A38" s="337" t="s">
        <v>107</v>
      </c>
      <c r="B38" s="135">
        <f t="shared" si="0"/>
        <v>8.174916970017458</v>
      </c>
      <c r="C38" s="46">
        <f t="shared" si="0"/>
        <v>296.04562566051527</v>
      </c>
      <c r="D38" s="135">
        <f t="shared" si="0"/>
        <v>5754.57268603506</v>
      </c>
      <c r="E38" s="135"/>
      <c r="F38" s="83">
        <f>C38/D38</f>
        <v>0.051445283918117084</v>
      </c>
      <c r="G38" s="159"/>
      <c r="H38" s="54">
        <v>1.2686565014544036</v>
      </c>
      <c r="I38" s="72"/>
      <c r="J38" s="46">
        <f>SUM(J10,J17,J24,J31)</f>
        <v>375.58020772134927</v>
      </c>
      <c r="K38" s="83">
        <f>F38*(H38)</f>
        <v>0.0652663939118869</v>
      </c>
      <c r="L38" s="84"/>
      <c r="N38" s="138">
        <f>B38-'Table 3.15-Route UAA NoPARS'!B38-'Table 3.16-Route UAA PARS'!B38</f>
        <v>0</v>
      </c>
      <c r="O38" s="138">
        <f>C38-'Table 3.15-Route UAA NoPARS'!C38-'Table 3.16-Route UAA PARS'!C38</f>
        <v>0</v>
      </c>
      <c r="P38" s="138">
        <f>D38-'Table 3.15-Route UAA NoPARS'!D38-'Table 3.16-Route UAA PARS'!D38</f>
        <v>0</v>
      </c>
    </row>
    <row r="39" spans="1:16" ht="12.75">
      <c r="A39" s="338" t="s">
        <v>102</v>
      </c>
      <c r="B39" s="135">
        <f>SUM(B35:B38)</f>
        <v>2185.216686676545</v>
      </c>
      <c r="C39" s="46">
        <f>SUM(C35:C38)</f>
        <v>69870.5674810184</v>
      </c>
      <c r="D39" s="135">
        <f>SUM(D35:D38)</f>
        <v>1434014.1888477234</v>
      </c>
      <c r="E39" s="135"/>
      <c r="F39" s="83"/>
      <c r="G39" s="159"/>
      <c r="H39" s="54"/>
      <c r="I39" s="72"/>
      <c r="J39" s="46">
        <f>SUM(J35:J38)</f>
        <v>95711.38944018817</v>
      </c>
      <c r="K39" s="83">
        <f>SUMPRODUCT(K35:K38,D35:D38)/D39</f>
        <v>0.06674368369890075</v>
      </c>
      <c r="L39" s="84"/>
      <c r="N39" s="138">
        <f>B39-'Table 3.15-Route UAA NoPARS'!B39-'Table 3.16-Route UAA PARS'!B39</f>
        <v>0</v>
      </c>
      <c r="O39" s="138">
        <f>C39-'Table 3.15-Route UAA NoPARS'!C39-'Table 3.16-Route UAA PARS'!C39</f>
        <v>0</v>
      </c>
      <c r="P39" s="138">
        <f>D39-'Table 3.15-Route UAA NoPARS'!D39-'Table 3.16-Route UAA PARS'!D39</f>
        <v>0</v>
      </c>
    </row>
    <row r="40" spans="1:12" ht="4.5" customHeight="1">
      <c r="A40" s="81"/>
      <c r="B40" s="135"/>
      <c r="C40" s="46"/>
      <c r="D40" s="135"/>
      <c r="E40" s="135"/>
      <c r="F40" s="83"/>
      <c r="G40" s="159"/>
      <c r="H40" s="54"/>
      <c r="I40" s="72"/>
      <c r="J40" s="46"/>
      <c r="K40" s="83"/>
      <c r="L40" s="84"/>
    </row>
    <row r="41" spans="1:12" ht="12.75">
      <c r="A41" s="81"/>
      <c r="B41" s="135"/>
      <c r="C41" s="46"/>
      <c r="D41" s="135"/>
      <c r="E41" s="135"/>
      <c r="F41" s="83"/>
      <c r="G41" s="159"/>
      <c r="H41" s="54"/>
      <c r="I41" s="72"/>
      <c r="J41" s="46"/>
      <c r="K41" s="83"/>
      <c r="L41" s="84"/>
    </row>
    <row r="42" spans="1:12" ht="15.75">
      <c r="A42" s="158" t="s">
        <v>63</v>
      </c>
      <c r="L42" s="84"/>
    </row>
    <row r="43" spans="1:12" ht="15.75">
      <c r="A43" s="158" t="s">
        <v>787</v>
      </c>
      <c r="L43" s="84"/>
    </row>
    <row r="44" spans="1:12" ht="25.5">
      <c r="A44" s="4"/>
      <c r="B44" s="189" t="s">
        <v>248</v>
      </c>
      <c r="C44" s="146" t="s">
        <v>249</v>
      </c>
      <c r="D44" s="168" t="s">
        <v>250</v>
      </c>
      <c r="E44" s="168"/>
      <c r="F44" s="169" t="s">
        <v>207</v>
      </c>
      <c r="G44" s="159"/>
      <c r="H44" s="190" t="s">
        <v>246</v>
      </c>
      <c r="I44" s="159"/>
      <c r="J44" s="189" t="s">
        <v>110</v>
      </c>
      <c r="K44" s="41" t="s">
        <v>133</v>
      </c>
      <c r="L44" s="84"/>
    </row>
    <row r="45" spans="1:12" ht="12.75">
      <c r="A45" s="15" t="s">
        <v>385</v>
      </c>
      <c r="B45" s="135"/>
      <c r="C45" s="46"/>
      <c r="D45" s="135"/>
      <c r="E45" s="135"/>
      <c r="F45" s="83"/>
      <c r="G45" s="159"/>
      <c r="H45" s="54"/>
      <c r="I45" s="72"/>
      <c r="J45" s="46"/>
      <c r="K45" s="83"/>
      <c r="L45" s="84"/>
    </row>
    <row r="46" spans="1:12" ht="4.5" customHeight="1">
      <c r="A46" s="81"/>
      <c r="B46" s="135"/>
      <c r="C46" s="46"/>
      <c r="D46" s="135"/>
      <c r="E46" s="135"/>
      <c r="F46" s="83"/>
      <c r="G46" s="159"/>
      <c r="H46" s="54"/>
      <c r="I46" s="72"/>
      <c r="J46" s="46"/>
      <c r="K46" s="83"/>
      <c r="L46" s="84"/>
    </row>
    <row r="47" spans="1:12" ht="12.75">
      <c r="A47" s="89" t="s">
        <v>386</v>
      </c>
      <c r="B47" s="135"/>
      <c r="C47" s="46"/>
      <c r="D47" s="135"/>
      <c r="E47" s="135"/>
      <c r="F47" s="41"/>
      <c r="G47" s="159"/>
      <c r="H47" s="54"/>
      <c r="I47" s="72"/>
      <c r="J47" s="42"/>
      <c r="K47" s="41"/>
      <c r="L47" s="84"/>
    </row>
    <row r="48" spans="1:17" ht="12.75">
      <c r="A48" s="337" t="s">
        <v>135</v>
      </c>
      <c r="B48" s="135">
        <v>251.2611866575451</v>
      </c>
      <c r="C48" s="46">
        <v>13656.295694263064</v>
      </c>
      <c r="D48" s="135">
        <v>223376.83005502986</v>
      </c>
      <c r="E48" s="135"/>
      <c r="F48" s="83">
        <f>C48/D48</f>
        <v>0.06113568578665377</v>
      </c>
      <c r="G48" s="159"/>
      <c r="H48" s="54">
        <v>1.3751805869654952</v>
      </c>
      <c r="I48" s="72"/>
      <c r="J48" s="46">
        <f>C48*H48</f>
        <v>18779.872728611044</v>
      </c>
      <c r="K48" s="83">
        <f>F48*(H48)</f>
        <v>0.08407260826462862</v>
      </c>
      <c r="L48" s="84"/>
      <c r="N48" s="138">
        <f>B48-'Table 3.15-Route UAA NoPARS'!B48-'Table 3.16-Route UAA PARS'!B48</f>
        <v>0</v>
      </c>
      <c r="O48" s="138">
        <f>C48-'Table 3.15-Route UAA NoPARS'!C48-'Table 3.16-Route UAA PARS'!C48</f>
        <v>0</v>
      </c>
      <c r="P48" s="138">
        <f>D48-'Table 3.15-Route UAA NoPARS'!D48-'Table 3.16-Route UAA PARS'!D48</f>
        <v>0</v>
      </c>
      <c r="Q48" s="138">
        <f>J48-'Table 3.15-Route UAA NoPARS'!J48-'Table 3.16-Route UAA PARS'!J48</f>
        <v>0</v>
      </c>
    </row>
    <row r="49" spans="1:17" ht="12.75">
      <c r="A49" s="338" t="s">
        <v>136</v>
      </c>
      <c r="B49" s="135">
        <v>60.812127763570274</v>
      </c>
      <c r="C49" s="46">
        <v>2086.025149308731</v>
      </c>
      <c r="D49" s="135">
        <v>105830.33248876235</v>
      </c>
      <c r="E49" s="135"/>
      <c r="F49" s="83">
        <f>C49/D49</f>
        <v>0.019711032746970128</v>
      </c>
      <c r="G49" s="159"/>
      <c r="H49" s="54">
        <v>1.2686565014544036</v>
      </c>
      <c r="I49" s="72"/>
      <c r="J49" s="46">
        <f>C49*H49</f>
        <v>2646.4493678679146</v>
      </c>
      <c r="K49" s="83">
        <f>F49*(H49)</f>
        <v>0.025006529844824304</v>
      </c>
      <c r="L49" s="84"/>
      <c r="N49" s="138">
        <f>B49-'Table 3.15-Route UAA NoPARS'!B49-'Table 3.16-Route UAA PARS'!B49</f>
        <v>0</v>
      </c>
      <c r="O49" s="138">
        <f>C49-'Table 3.15-Route UAA NoPARS'!C49-'Table 3.16-Route UAA PARS'!C49</f>
        <v>0</v>
      </c>
      <c r="P49" s="138">
        <f>D49-'Table 3.15-Route UAA NoPARS'!D49-'Table 3.16-Route UAA PARS'!D49</f>
        <v>0</v>
      </c>
      <c r="Q49" s="138">
        <f>J49-'Table 3.15-Route UAA NoPARS'!J49-'Table 3.16-Route UAA PARS'!J49</f>
        <v>0</v>
      </c>
    </row>
    <row r="50" spans="1:17" ht="12.75">
      <c r="A50" s="337" t="s">
        <v>137</v>
      </c>
      <c r="B50" s="53">
        <v>22.405642941758146</v>
      </c>
      <c r="C50" s="46">
        <v>916.7069935233258</v>
      </c>
      <c r="D50" s="53">
        <v>37036.822830709585</v>
      </c>
      <c r="E50" s="135"/>
      <c r="F50" s="83">
        <f>C50/D50</f>
        <v>0.024751231975633333</v>
      </c>
      <c r="G50" s="159"/>
      <c r="H50" s="54">
        <v>1.4666301987498853</v>
      </c>
      <c r="I50" s="72"/>
      <c r="J50" s="46">
        <f>C50*H50</f>
        <v>1344.470160106525</v>
      </c>
      <c r="K50" s="83">
        <f>F50*(H50)</f>
        <v>0.036300904271727635</v>
      </c>
      <c r="L50" s="84"/>
      <c r="N50" s="138">
        <f>B50-'Table 3.15-Route UAA NoPARS'!B50-'Table 3.16-Route UAA PARS'!B50</f>
        <v>0</v>
      </c>
      <c r="O50" s="138">
        <f>C50-'Table 3.15-Route UAA NoPARS'!C50-'Table 3.16-Route UAA PARS'!C50</f>
        <v>0</v>
      </c>
      <c r="P50" s="138">
        <f>D50-'Table 3.15-Route UAA NoPARS'!D50-'Table 3.16-Route UAA PARS'!D50</f>
        <v>0</v>
      </c>
      <c r="Q50" s="138">
        <f>J50-'Table 3.15-Route UAA NoPARS'!J50-'Table 3.16-Route UAA PARS'!J50</f>
        <v>0</v>
      </c>
    </row>
    <row r="51" spans="1:17" ht="12.75">
      <c r="A51" s="337" t="s">
        <v>107</v>
      </c>
      <c r="B51" s="53">
        <v>1.2908105771241376</v>
      </c>
      <c r="C51" s="46">
        <v>46.745285158915806</v>
      </c>
      <c r="D51" s="53">
        <v>2196.7971089381213</v>
      </c>
      <c r="E51" s="135"/>
      <c r="F51" s="83">
        <f>C51/D51</f>
        <v>0.021278835887357548</v>
      </c>
      <c r="G51" s="159"/>
      <c r="H51" s="54">
        <v>1.2686565014544036</v>
      </c>
      <c r="I51" s="72"/>
      <c r="J51" s="46">
        <f>C51*H51</f>
        <v>59.30370992919858</v>
      </c>
      <c r="K51" s="83">
        <f>F51*(H51)</f>
        <v>0.026995533491877437</v>
      </c>
      <c r="L51" s="84"/>
      <c r="N51" s="138">
        <f>B51-'Table 3.15-Route UAA NoPARS'!B51-'Table 3.16-Route UAA PARS'!B51</f>
        <v>0</v>
      </c>
      <c r="O51" s="138">
        <f>C51-'Table 3.15-Route UAA NoPARS'!C51-'Table 3.16-Route UAA PARS'!C51</f>
        <v>0</v>
      </c>
      <c r="P51" s="138">
        <f>D51-'Table 3.15-Route UAA NoPARS'!D51-'Table 3.16-Route UAA PARS'!D51</f>
        <v>0</v>
      </c>
      <c r="Q51" s="138">
        <f>J51-'Table 3.15-Route UAA NoPARS'!J51-'Table 3.16-Route UAA PARS'!J51</f>
        <v>0</v>
      </c>
    </row>
    <row r="52" spans="1:17" ht="12.75">
      <c r="A52" s="337" t="s">
        <v>277</v>
      </c>
      <c r="B52" s="53">
        <f>SUM(B48:B51)</f>
        <v>335.7697679399977</v>
      </c>
      <c r="C52" s="46">
        <f>SUM(C48:C51)</f>
        <v>16705.773122254035</v>
      </c>
      <c r="D52" s="53">
        <f>SUM(D48:D51)</f>
        <v>368440.7824834399</v>
      </c>
      <c r="E52" s="135"/>
      <c r="F52" s="41"/>
      <c r="G52" s="159"/>
      <c r="H52" s="54"/>
      <c r="I52" s="72"/>
      <c r="J52" s="46">
        <f>SUM(J48:J51)</f>
        <v>22830.09596651468</v>
      </c>
      <c r="K52" s="83">
        <f>SUMPRODUCT(K48:K51,D48:D51)/D52</f>
        <v>0.061964085008805486</v>
      </c>
      <c r="L52" s="84"/>
      <c r="N52" s="138">
        <f>B52-'Table 3.15-Route UAA NoPARS'!B52-'Table 3.16-Route UAA PARS'!B52</f>
        <v>0</v>
      </c>
      <c r="O52" s="138">
        <f>C52-'Table 3.15-Route UAA NoPARS'!C52-'Table 3.16-Route UAA PARS'!C52</f>
        <v>0</v>
      </c>
      <c r="P52" s="138">
        <f>D52-'Table 3.15-Route UAA NoPARS'!D52-'Table 3.16-Route UAA PARS'!D52</f>
        <v>0</v>
      </c>
      <c r="Q52" s="138">
        <f>J52-'Table 3.15-Route UAA NoPARS'!J52-'Table 3.16-Route UAA PARS'!J52</f>
        <v>0</v>
      </c>
    </row>
    <row r="53" spans="1:12" ht="12.75">
      <c r="A53" s="21"/>
      <c r="B53" s="135"/>
      <c r="C53" s="135"/>
      <c r="D53" s="135"/>
      <c r="E53" s="135"/>
      <c r="F53" s="83"/>
      <c r="G53" s="159"/>
      <c r="H53" s="54"/>
      <c r="I53" s="72"/>
      <c r="J53" s="46"/>
      <c r="K53" s="83"/>
      <c r="L53" s="84"/>
    </row>
    <row r="54" spans="2:11" ht="4.5" customHeight="1">
      <c r="B54" s="57"/>
      <c r="C54" s="57"/>
      <c r="D54" s="57"/>
      <c r="E54" s="40"/>
      <c r="F54" s="41"/>
      <c r="G54" s="159"/>
      <c r="H54" s="54"/>
      <c r="I54" s="72"/>
      <c r="J54" s="42"/>
      <c r="K54" s="41"/>
    </row>
    <row r="55" spans="1:11" ht="12.75">
      <c r="A55" s="89" t="s">
        <v>387</v>
      </c>
      <c r="B55" s="57"/>
      <c r="C55" s="57"/>
      <c r="D55" s="57"/>
      <c r="E55" s="40"/>
      <c r="F55" s="41"/>
      <c r="G55" s="159"/>
      <c r="H55" s="54"/>
      <c r="I55" s="72"/>
      <c r="J55" s="42"/>
      <c r="K55" s="41"/>
    </row>
    <row r="56" spans="1:17" ht="12.75">
      <c r="A56" s="337" t="s">
        <v>135</v>
      </c>
      <c r="B56" s="135">
        <v>85.73216689928846</v>
      </c>
      <c r="C56" s="46">
        <v>4431.133257461595</v>
      </c>
      <c r="D56" s="135">
        <v>75351.18624633002</v>
      </c>
      <c r="E56" s="135"/>
      <c r="F56" s="83">
        <f>C56/D56</f>
        <v>0.05880641670292767</v>
      </c>
      <c r="G56" s="159"/>
      <c r="H56" s="54">
        <v>1.3751805869654952</v>
      </c>
      <c r="I56" s="72"/>
      <c r="J56" s="46">
        <f>C56*H56</f>
        <v>6093.6084339183635</v>
      </c>
      <c r="K56" s="83">
        <f>F56*(H56)</f>
        <v>0.08086944263886957</v>
      </c>
      <c r="N56" s="138">
        <f>B56-'Table 3.15-Route UAA NoPARS'!B56-'Table 3.16-Route UAA PARS'!B56</f>
        <v>0</v>
      </c>
      <c r="O56" s="138">
        <f>C56-'Table 3.15-Route UAA NoPARS'!C56-'Table 3.16-Route UAA PARS'!C56</f>
        <v>0</v>
      </c>
      <c r="P56" s="138">
        <f>D56-'Table 3.15-Route UAA NoPARS'!D56-'Table 3.16-Route UAA PARS'!D56</f>
        <v>0</v>
      </c>
      <c r="Q56" s="138">
        <f>J56-'Table 3.15-Route UAA NoPARS'!J56-'Table 3.16-Route UAA PARS'!J56</f>
        <v>0</v>
      </c>
    </row>
    <row r="57" spans="1:17" ht="12.75">
      <c r="A57" s="338" t="s">
        <v>136</v>
      </c>
      <c r="B57" s="135">
        <v>24.498269210752266</v>
      </c>
      <c r="C57" s="46">
        <v>854.2893434255177</v>
      </c>
      <c r="D57" s="135">
        <v>35098.2012107495</v>
      </c>
      <c r="E57" s="135"/>
      <c r="F57" s="83">
        <f>C57/D57</f>
        <v>0.024339975097181762</v>
      </c>
      <c r="G57" s="159"/>
      <c r="H57" s="54">
        <v>1.2686565014544036</v>
      </c>
      <c r="I57" s="72"/>
      <c r="J57" s="46">
        <f>C57*H57</f>
        <v>1083.7997296599967</v>
      </c>
      <c r="K57" s="83">
        <f>F57*(H57)</f>
        <v>0.030879067652277922</v>
      </c>
      <c r="N57" s="138">
        <f>B57-'Table 3.15-Route UAA NoPARS'!B57-'Table 3.16-Route UAA PARS'!B57</f>
        <v>0</v>
      </c>
      <c r="O57" s="138">
        <f>C57-'Table 3.15-Route UAA NoPARS'!C57-'Table 3.16-Route UAA PARS'!C57</f>
        <v>0</v>
      </c>
      <c r="P57" s="138">
        <f>D57-'Table 3.15-Route UAA NoPARS'!D57-'Table 3.16-Route UAA PARS'!D57</f>
        <v>0</v>
      </c>
      <c r="Q57" s="138">
        <f>J57-'Table 3.15-Route UAA NoPARS'!J57-'Table 3.16-Route UAA PARS'!J57</f>
        <v>0</v>
      </c>
    </row>
    <row r="58" spans="1:17" ht="12.75">
      <c r="A58" s="337" t="s">
        <v>137</v>
      </c>
      <c r="B58" s="53">
        <v>7.84322080643321</v>
      </c>
      <c r="C58" s="46">
        <v>271.4523848986808</v>
      </c>
      <c r="D58" s="53">
        <v>11364.75785087564</v>
      </c>
      <c r="E58" s="135"/>
      <c r="F58" s="83">
        <f>C58/D58</f>
        <v>0.023885452594818442</v>
      </c>
      <c r="G58" s="159"/>
      <c r="H58" s="54">
        <v>1.4666301987498853</v>
      </c>
      <c r="I58" s="72"/>
      <c r="J58" s="46">
        <f>C58*H58</f>
        <v>398.1202652150826</v>
      </c>
      <c r="K58" s="83">
        <f>F58*(H58)</f>
        <v>0.03503112608636954</v>
      </c>
      <c r="N58" s="138">
        <f>B58-'Table 3.15-Route UAA NoPARS'!B58-'Table 3.16-Route UAA PARS'!B58</f>
        <v>0</v>
      </c>
      <c r="O58" s="138">
        <f>C58-'Table 3.15-Route UAA NoPARS'!C58-'Table 3.16-Route UAA PARS'!C58</f>
        <v>0</v>
      </c>
      <c r="P58" s="138">
        <f>D58-'Table 3.15-Route UAA NoPARS'!D58-'Table 3.16-Route UAA PARS'!D58</f>
        <v>0</v>
      </c>
      <c r="Q58" s="138">
        <f>J58-'Table 3.15-Route UAA NoPARS'!J58-'Table 3.16-Route UAA PARS'!J58</f>
        <v>0</v>
      </c>
    </row>
    <row r="59" spans="1:17" ht="12.75">
      <c r="A59" s="337" t="s">
        <v>107</v>
      </c>
      <c r="B59" s="53">
        <v>0.1881719635365046</v>
      </c>
      <c r="C59" s="46">
        <v>6.814440670314624</v>
      </c>
      <c r="D59" s="53">
        <v>408.046812966709</v>
      </c>
      <c r="E59" s="135"/>
      <c r="F59" s="83">
        <f>C59/D59</f>
        <v>0.016700144330916728</v>
      </c>
      <c r="G59" s="159"/>
      <c r="H59" s="54">
        <v>1.2686565014544036</v>
      </c>
      <c r="I59" s="72"/>
      <c r="J59" s="46">
        <f>C59*H59</f>
        <v>8.64518446016995</v>
      </c>
      <c r="K59" s="83">
        <f>F59*(H59)</f>
        <v>0.021186746680644408</v>
      </c>
      <c r="N59" s="138">
        <f>B59-'Table 3.15-Route UAA NoPARS'!B59-'Table 3.16-Route UAA PARS'!B59</f>
        <v>0</v>
      </c>
      <c r="O59" s="138">
        <f>C59-'Table 3.15-Route UAA NoPARS'!C59-'Table 3.16-Route UAA PARS'!C59</f>
        <v>0</v>
      </c>
      <c r="P59" s="138">
        <f>D59-'Table 3.15-Route UAA NoPARS'!D59-'Table 3.16-Route UAA PARS'!D59</f>
        <v>0</v>
      </c>
      <c r="Q59" s="138">
        <f>J59-'Table 3.15-Route UAA NoPARS'!J59-'Table 3.16-Route UAA PARS'!J59</f>
        <v>0</v>
      </c>
    </row>
    <row r="60" spans="1:17" ht="12.75">
      <c r="A60" s="337" t="s">
        <v>277</v>
      </c>
      <c r="B60" s="53">
        <f>SUM(B56:B59)</f>
        <v>118.26182888001044</v>
      </c>
      <c r="C60" s="46">
        <f>SUM(C56:C59)</f>
        <v>5563.689426456109</v>
      </c>
      <c r="D60" s="53">
        <f>SUM(D56:D59)</f>
        <v>122222.19212092187</v>
      </c>
      <c r="E60" s="135"/>
      <c r="F60" s="41"/>
      <c r="G60" s="159"/>
      <c r="H60" s="54"/>
      <c r="I60" s="72"/>
      <c r="J60" s="46">
        <f>SUM(J56:J59)</f>
        <v>7584.1736132536125</v>
      </c>
      <c r="K60" s="83">
        <f>SUMPRODUCT(K56:K59,D56:D59)/D60</f>
        <v>0.06205234484544449</v>
      </c>
      <c r="N60" s="138">
        <f>B60-'Table 3.15-Route UAA NoPARS'!B60-'Table 3.16-Route UAA PARS'!B60</f>
        <v>0</v>
      </c>
      <c r="O60" s="138">
        <f>C60-'Table 3.15-Route UAA NoPARS'!C60-'Table 3.16-Route UAA PARS'!C60</f>
        <v>0</v>
      </c>
      <c r="P60" s="138">
        <f>D60-'Table 3.15-Route UAA NoPARS'!D60-'Table 3.16-Route UAA PARS'!D60</f>
        <v>0</v>
      </c>
      <c r="Q60" s="138">
        <f>J60-'Table 3.15-Route UAA NoPARS'!J60-'Table 3.16-Route UAA PARS'!J60</f>
        <v>0</v>
      </c>
    </row>
    <row r="61" spans="2:11" ht="4.5" customHeight="1">
      <c r="B61" s="135"/>
      <c r="C61" s="135"/>
      <c r="D61" s="135"/>
      <c r="E61" s="135"/>
      <c r="F61" s="41"/>
      <c r="G61" s="159"/>
      <c r="H61" s="54"/>
      <c r="I61" s="72"/>
      <c r="J61" s="42"/>
      <c r="K61" s="41"/>
    </row>
    <row r="62" spans="1:11" ht="12.75">
      <c r="A62" s="89" t="s">
        <v>388</v>
      </c>
      <c r="B62" s="11"/>
      <c r="C62" s="11"/>
      <c r="D62" s="11"/>
      <c r="E62" s="11"/>
      <c r="F62" s="11"/>
      <c r="G62" s="11"/>
      <c r="I62" s="11"/>
      <c r="J62" s="11"/>
      <c r="K62" s="11"/>
    </row>
    <row r="63" spans="1:17" ht="12.75">
      <c r="A63" s="337" t="s">
        <v>135</v>
      </c>
      <c r="B63" s="135">
        <v>57.81071476718417</v>
      </c>
      <c r="C63" s="46">
        <v>2536.8570071461795</v>
      </c>
      <c r="D63" s="135">
        <v>48839.749071186074</v>
      </c>
      <c r="E63" s="11"/>
      <c r="F63" s="83">
        <f>C63/D63</f>
        <v>0.051942466032096096</v>
      </c>
      <c r="G63" s="11"/>
      <c r="H63" s="54">
        <v>1.3751805869654952</v>
      </c>
      <c r="I63" s="11"/>
      <c r="J63" s="46">
        <f>C63*H63</f>
        <v>3488.6365081348126</v>
      </c>
      <c r="K63" s="83">
        <f>F63*(H63)</f>
        <v>0.07143027092645321</v>
      </c>
      <c r="N63" s="138">
        <f>B63-'Table 3.15-Route UAA NoPARS'!B63-'Table 3.16-Route UAA PARS'!B63</f>
        <v>0</v>
      </c>
      <c r="O63" s="138">
        <f>C63-'Table 3.15-Route UAA NoPARS'!C63-'Table 3.16-Route UAA PARS'!C63</f>
        <v>0</v>
      </c>
      <c r="P63" s="138">
        <f>D63-'Table 3.15-Route UAA NoPARS'!D63-'Table 3.16-Route UAA PARS'!D63</f>
        <v>0</v>
      </c>
      <c r="Q63" s="138">
        <f>J63-'Table 3.15-Route UAA NoPARS'!J63-'Table 3.16-Route UAA PARS'!J63</f>
        <v>0</v>
      </c>
    </row>
    <row r="64" spans="1:17" ht="12.75">
      <c r="A64" s="338" t="s">
        <v>136</v>
      </c>
      <c r="B64" s="135">
        <v>22.66753419066948</v>
      </c>
      <c r="C64" s="46">
        <v>892.6412085304358</v>
      </c>
      <c r="D64" s="135">
        <v>25315.99421603241</v>
      </c>
      <c r="E64" s="11"/>
      <c r="F64" s="83">
        <f>C64/D64</f>
        <v>0.03525997047215051</v>
      </c>
      <c r="G64" s="11"/>
      <c r="H64" s="54">
        <v>1.2686565014544036</v>
      </c>
      <c r="I64" s="11"/>
      <c r="J64" s="46">
        <f>C64*H64</f>
        <v>1132.4550726682535</v>
      </c>
      <c r="K64" s="83">
        <f>F64*(H64)</f>
        <v>0.044732790780584036</v>
      </c>
      <c r="N64" s="138">
        <f>B64-'Table 3.15-Route UAA NoPARS'!B64-'Table 3.16-Route UAA PARS'!B64</f>
        <v>0</v>
      </c>
      <c r="O64" s="138">
        <f>C64-'Table 3.15-Route UAA NoPARS'!C64-'Table 3.16-Route UAA PARS'!C64</f>
        <v>0</v>
      </c>
      <c r="P64" s="138">
        <f>D64-'Table 3.15-Route UAA NoPARS'!D64-'Table 3.16-Route UAA PARS'!D64</f>
        <v>0</v>
      </c>
      <c r="Q64" s="138">
        <f>J64-'Table 3.15-Route UAA NoPARS'!J64-'Table 3.16-Route UAA PARS'!J64</f>
        <v>0</v>
      </c>
    </row>
    <row r="65" spans="1:17" ht="12.75">
      <c r="A65" s="337" t="s">
        <v>137</v>
      </c>
      <c r="B65" s="53">
        <v>11.474941492576729</v>
      </c>
      <c r="C65" s="46">
        <v>761.863743107632</v>
      </c>
      <c r="D65" s="53">
        <v>11143.74156337362</v>
      </c>
      <c r="E65" s="11"/>
      <c r="F65" s="83">
        <f>C65/D65</f>
        <v>0.06836696084299607</v>
      </c>
      <c r="G65" s="11"/>
      <c r="H65" s="54">
        <v>1.4666301987498853</v>
      </c>
      <c r="I65" s="11"/>
      <c r="J65" s="46">
        <f>C65*H65</f>
        <v>1117.3723729742778</v>
      </c>
      <c r="K65" s="83">
        <f>F65*(H65)</f>
        <v>0.10026904936908895</v>
      </c>
      <c r="N65" s="138">
        <f>B65-'Table 3.15-Route UAA NoPARS'!B65-'Table 3.16-Route UAA PARS'!B65</f>
        <v>0</v>
      </c>
      <c r="O65" s="138">
        <f>C65-'Table 3.15-Route UAA NoPARS'!C65-'Table 3.16-Route UAA PARS'!C65</f>
        <v>1.1368683772161603E-13</v>
      </c>
      <c r="P65" s="138">
        <f>D65-'Table 3.15-Route UAA NoPARS'!D65-'Table 3.16-Route UAA PARS'!D65</f>
        <v>0</v>
      </c>
      <c r="Q65" s="138">
        <f>J65-'Table 3.15-Route UAA NoPARS'!J65-'Table 3.16-Route UAA PARS'!J65</f>
        <v>0</v>
      </c>
    </row>
    <row r="66" spans="1:17" ht="12.75">
      <c r="A66" s="337" t="s">
        <v>107</v>
      </c>
      <c r="B66" s="53">
        <v>0.6059395917321573</v>
      </c>
      <c r="C66" s="46">
        <v>21.94343578102917</v>
      </c>
      <c r="D66" s="53">
        <v>782.0192818136492</v>
      </c>
      <c r="E66" s="11"/>
      <c r="F66" s="83">
        <f>C66/D66</f>
        <v>0.028059967690487415</v>
      </c>
      <c r="G66" s="11"/>
      <c r="H66" s="54">
        <v>1.2686565014544036</v>
      </c>
      <c r="I66" s="11"/>
      <c r="J66" s="46">
        <f>C66*H66</f>
        <v>27.838682467849843</v>
      </c>
      <c r="K66" s="83">
        <f>F66*(H66)</f>
        <v>0.03559846044113737</v>
      </c>
      <c r="N66" s="138">
        <f>B66-'Table 3.15-Route UAA NoPARS'!B66-'Table 3.16-Route UAA PARS'!B66</f>
        <v>0</v>
      </c>
      <c r="O66" s="138">
        <f>C66-'Table 3.15-Route UAA NoPARS'!C66-'Table 3.16-Route UAA PARS'!C66</f>
        <v>0</v>
      </c>
      <c r="P66" s="138">
        <f>D66-'Table 3.15-Route UAA NoPARS'!D66-'Table 3.16-Route UAA PARS'!D66</f>
        <v>0</v>
      </c>
      <c r="Q66" s="138">
        <f>J66-'Table 3.15-Route UAA NoPARS'!J66-'Table 3.16-Route UAA PARS'!J66</f>
        <v>0</v>
      </c>
    </row>
    <row r="67" spans="1:17" ht="12.75">
      <c r="A67" s="337" t="s">
        <v>277</v>
      </c>
      <c r="B67" s="53">
        <f>SUM(B63:B66)</f>
        <v>92.55913004216254</v>
      </c>
      <c r="C67" s="46">
        <f>SUM(C63:C66)</f>
        <v>4213.305394565277</v>
      </c>
      <c r="D67" s="53">
        <f>SUM(D63:D66)</f>
        <v>86081.50413240575</v>
      </c>
      <c r="E67" s="11"/>
      <c r="F67" s="11"/>
      <c r="G67" s="11"/>
      <c r="I67" s="11"/>
      <c r="J67" s="46">
        <f>SUM(J63:J66)</f>
        <v>5766.302636245194</v>
      </c>
      <c r="K67" s="83">
        <f>SUMPRODUCT(K63:K66,D63:D66)/D67</f>
        <v>0.06698654599919385</v>
      </c>
      <c r="N67" s="138">
        <f>B67-'Table 3.15-Route UAA NoPARS'!B67-'Table 3.16-Route UAA PARS'!B67</f>
        <v>0</v>
      </c>
      <c r="O67" s="138">
        <f>C67-'Table 3.15-Route UAA NoPARS'!C67-'Table 3.16-Route UAA PARS'!C67</f>
        <v>0</v>
      </c>
      <c r="P67" s="138">
        <f>D67-'Table 3.15-Route UAA NoPARS'!D67-'Table 3.16-Route UAA PARS'!D67</f>
        <v>0</v>
      </c>
      <c r="Q67" s="138">
        <f>J67-'Table 3.15-Route UAA NoPARS'!J67-'Table 3.16-Route UAA PARS'!J67</f>
        <v>0</v>
      </c>
    </row>
    <row r="68" spans="1:11" ht="4.5" customHeight="1">
      <c r="A68" s="21"/>
      <c r="B68" s="135"/>
      <c r="C68" s="46"/>
      <c r="D68" s="135"/>
      <c r="E68" s="135"/>
      <c r="F68" s="41"/>
      <c r="G68" s="159"/>
      <c r="H68" s="54"/>
      <c r="I68" s="72"/>
      <c r="J68" s="42"/>
      <c r="K68" s="41"/>
    </row>
    <row r="69" spans="1:11" ht="12.75" customHeight="1">
      <c r="A69" s="89" t="s">
        <v>389</v>
      </c>
      <c r="B69" s="135"/>
      <c r="C69" s="46"/>
      <c r="D69" s="135"/>
      <c r="E69" s="135"/>
      <c r="F69" s="83"/>
      <c r="G69" s="159"/>
      <c r="H69" s="54"/>
      <c r="I69" s="72"/>
      <c r="J69" s="46"/>
      <c r="K69" s="83"/>
    </row>
    <row r="70" spans="1:17" ht="12.75" customHeight="1">
      <c r="A70" s="337" t="s">
        <v>135</v>
      </c>
      <c r="B70" s="135">
        <f aca="true" t="shared" si="1" ref="B70:D73">SUM(B48,B56,B63)</f>
        <v>394.8040683240177</v>
      </c>
      <c r="C70" s="46">
        <f t="shared" si="1"/>
        <v>20624.285958870838</v>
      </c>
      <c r="D70" s="135">
        <f t="shared" si="1"/>
        <v>347567.7653725459</v>
      </c>
      <c r="E70" s="135"/>
      <c r="F70" s="83">
        <f>C70/D70</f>
        <v>0.059338891616615756</v>
      </c>
      <c r="G70" s="159"/>
      <c r="H70" s="54">
        <v>1.3751805869654952</v>
      </c>
      <c r="I70" s="72"/>
      <c r="J70" s="46">
        <f>C70*H70</f>
        <v>28362.117670664218</v>
      </c>
      <c r="K70" s="83">
        <f>F70*(H70)</f>
        <v>0.08160169180321955</v>
      </c>
      <c r="N70" s="138">
        <f>B70-'Table 3.15-Route UAA NoPARS'!B70-'Table 3.16-Route UAA PARS'!B70</f>
        <v>0</v>
      </c>
      <c r="O70" s="138">
        <f>C70-'Table 3.15-Route UAA NoPARS'!C70-'Table 3.16-Route UAA PARS'!C70</f>
        <v>0</v>
      </c>
      <c r="P70" s="138">
        <f>D70-'Table 3.15-Route UAA NoPARS'!D70-'Table 3.16-Route UAA PARS'!D70</f>
        <v>0</v>
      </c>
      <c r="Q70" s="138">
        <f>J70-'Table 3.15-Route UAA NoPARS'!J70-'Table 3.16-Route UAA PARS'!J70</f>
        <v>0</v>
      </c>
    </row>
    <row r="71" spans="1:17" ht="12.75" customHeight="1">
      <c r="A71" s="338" t="s">
        <v>136</v>
      </c>
      <c r="B71" s="135">
        <f t="shared" si="1"/>
        <v>107.97793116499201</v>
      </c>
      <c r="C71" s="46">
        <f t="shared" si="1"/>
        <v>3832.955701264685</v>
      </c>
      <c r="D71" s="135">
        <f t="shared" si="1"/>
        <v>166244.52791554425</v>
      </c>
      <c r="E71" s="135"/>
      <c r="F71" s="83">
        <f>C71/D71</f>
        <v>0.02305613152699924</v>
      </c>
      <c r="G71" s="159"/>
      <c r="H71" s="54">
        <v>1.2686565014544036</v>
      </c>
      <c r="I71" s="72"/>
      <c r="J71" s="46">
        <f>C71*H71</f>
        <v>4862.704170196165</v>
      </c>
      <c r="K71" s="83">
        <f>F71*(H71)</f>
        <v>0.029250311160115432</v>
      </c>
      <c r="N71" s="138">
        <f>B71-'Table 3.15-Route UAA NoPARS'!B71-'Table 3.16-Route UAA PARS'!B71</f>
        <v>0</v>
      </c>
      <c r="O71" s="138">
        <f>C71-'Table 3.15-Route UAA NoPARS'!C71-'Table 3.16-Route UAA PARS'!C71</f>
        <v>0</v>
      </c>
      <c r="P71" s="138">
        <f>D71-'Table 3.15-Route UAA NoPARS'!D71-'Table 3.16-Route UAA PARS'!D71</f>
        <v>0</v>
      </c>
      <c r="Q71" s="138">
        <f>J71-'Table 3.15-Route UAA NoPARS'!J71-'Table 3.16-Route UAA PARS'!J71</f>
        <v>0</v>
      </c>
    </row>
    <row r="72" spans="1:17" ht="12.75" customHeight="1">
      <c r="A72" s="337" t="s">
        <v>137</v>
      </c>
      <c r="B72" s="135">
        <f t="shared" si="1"/>
        <v>41.72380524076809</v>
      </c>
      <c r="C72" s="46">
        <f t="shared" si="1"/>
        <v>1950.0231215296385</v>
      </c>
      <c r="D72" s="135">
        <f t="shared" si="1"/>
        <v>59545.32224495885</v>
      </c>
      <c r="E72" s="135"/>
      <c r="F72" s="83">
        <f>C72/D72</f>
        <v>0.03274855266560807</v>
      </c>
      <c r="G72" s="159"/>
      <c r="H72" s="54">
        <v>1.4666301987498853</v>
      </c>
      <c r="I72" s="72"/>
      <c r="J72" s="46">
        <f>C72*H72</f>
        <v>2859.9627982958855</v>
      </c>
      <c r="K72" s="83">
        <f>F72*(H72)</f>
        <v>0.048030016304731846</v>
      </c>
      <c r="N72" s="138">
        <f>B72-'Table 3.15-Route UAA NoPARS'!B72-'Table 3.16-Route UAA PARS'!B72</f>
        <v>0</v>
      </c>
      <c r="O72" s="138">
        <f>C72-'Table 3.15-Route UAA NoPARS'!C72-'Table 3.16-Route UAA PARS'!C72</f>
        <v>0</v>
      </c>
      <c r="P72" s="138">
        <f>D72-'Table 3.15-Route UAA NoPARS'!D72-'Table 3.16-Route UAA PARS'!D72</f>
        <v>0</v>
      </c>
      <c r="Q72" s="138">
        <f>J72-'Table 3.15-Route UAA NoPARS'!J72-'Table 3.16-Route UAA PARS'!J72</f>
        <v>0</v>
      </c>
    </row>
    <row r="73" spans="1:17" ht="12.75" customHeight="1">
      <c r="A73" s="337" t="s">
        <v>107</v>
      </c>
      <c r="B73" s="135">
        <f t="shared" si="1"/>
        <v>2.0849221323927996</v>
      </c>
      <c r="C73" s="46">
        <f t="shared" si="1"/>
        <v>75.5031616102596</v>
      </c>
      <c r="D73" s="135">
        <f t="shared" si="1"/>
        <v>3386.86320371848</v>
      </c>
      <c r="E73" s="135"/>
      <c r="F73" s="83">
        <f>C73/D73</f>
        <v>0.022292946915412386</v>
      </c>
      <c r="G73" s="159"/>
      <c r="H73" s="54">
        <v>1.2686565014544036</v>
      </c>
      <c r="I73" s="72"/>
      <c r="J73" s="46">
        <f>C73*H73</f>
        <v>95.78757685721837</v>
      </c>
      <c r="K73" s="83">
        <f>F73*(H73)</f>
        <v>0.028282092040815814</v>
      </c>
      <c r="N73" s="138">
        <f>B73-'Table 3.15-Route UAA NoPARS'!B73-'Table 3.16-Route UAA PARS'!B73</f>
        <v>0</v>
      </c>
      <c r="O73" s="138">
        <f>C73-'Table 3.15-Route UAA NoPARS'!C73-'Table 3.16-Route UAA PARS'!C73</f>
        <v>0</v>
      </c>
      <c r="P73" s="138">
        <f>D73-'Table 3.15-Route UAA NoPARS'!D73-'Table 3.16-Route UAA PARS'!D73</f>
        <v>0</v>
      </c>
      <c r="Q73" s="138">
        <f>J73-'Table 3.15-Route UAA NoPARS'!J73-'Table 3.16-Route UAA PARS'!J73</f>
        <v>0</v>
      </c>
    </row>
    <row r="74" spans="1:17" ht="12.75" customHeight="1">
      <c r="A74" s="337" t="s">
        <v>102</v>
      </c>
      <c r="B74" s="135">
        <f>SUM(B70:B73)</f>
        <v>546.5907268621705</v>
      </c>
      <c r="C74" s="46">
        <f>SUM(C70:C73)</f>
        <v>26482.76794327542</v>
      </c>
      <c r="D74" s="135">
        <f>SUM(D70:D73)</f>
        <v>576744.4787367674</v>
      </c>
      <c r="E74" s="135"/>
      <c r="F74" s="41"/>
      <c r="G74" s="159"/>
      <c r="H74" s="54"/>
      <c r="I74" s="72"/>
      <c r="J74" s="46">
        <f>SUM(J70:J73)</f>
        <v>36180.57221601349</v>
      </c>
      <c r="K74" s="83">
        <f>SUMPRODUCT(K70:K73,D70:D73)/D74</f>
        <v>0.06273241192574416</v>
      </c>
      <c r="N74" s="138">
        <f>B74-'Table 3.15-Route UAA NoPARS'!B74-'Table 3.16-Route UAA PARS'!B74</f>
        <v>0</v>
      </c>
      <c r="O74" s="138">
        <f>C74-'Table 3.15-Route UAA NoPARS'!C74-'Table 3.16-Route UAA PARS'!C74</f>
        <v>0</v>
      </c>
      <c r="P74" s="138">
        <f>D74-'Table 3.15-Route UAA NoPARS'!D74-'Table 3.16-Route UAA PARS'!D74</f>
        <v>0</v>
      </c>
      <c r="Q74" s="138">
        <f>J74-'Table 3.15-Route UAA NoPARS'!J74-'Table 3.16-Route UAA PARS'!J74</f>
        <v>0</v>
      </c>
    </row>
    <row r="75" spans="1:11" ht="4.5" customHeight="1">
      <c r="A75" s="21"/>
      <c r="B75" s="135"/>
      <c r="C75" s="46"/>
      <c r="D75" s="135"/>
      <c r="E75" s="135"/>
      <c r="F75" s="41"/>
      <c r="G75" s="159"/>
      <c r="H75" s="54"/>
      <c r="I75" s="72"/>
      <c r="J75" s="42"/>
      <c r="K75" s="41"/>
    </row>
    <row r="76" spans="1:12" ht="12.75">
      <c r="A76" s="81"/>
      <c r="B76" s="135"/>
      <c r="C76" s="46"/>
      <c r="D76" s="135"/>
      <c r="E76" s="135"/>
      <c r="F76" s="83"/>
      <c r="G76" s="159"/>
      <c r="H76" s="54"/>
      <c r="I76" s="72"/>
      <c r="J76" s="46"/>
      <c r="K76" s="83"/>
      <c r="L76" s="84"/>
    </row>
    <row r="77" spans="1:11" ht="12.75">
      <c r="A77" s="15" t="s">
        <v>285</v>
      </c>
      <c r="B77" s="48"/>
      <c r="C77" s="42"/>
      <c r="D77" s="40"/>
      <c r="E77" s="40"/>
      <c r="F77" s="41"/>
      <c r="G77" s="159"/>
      <c r="H77" s="54"/>
      <c r="I77" s="72"/>
      <c r="J77" s="42"/>
      <c r="K77" s="41"/>
    </row>
    <row r="78" spans="1:17" ht="12.75">
      <c r="A78" s="337" t="s">
        <v>135</v>
      </c>
      <c r="B78" s="135">
        <v>1065.6783205455</v>
      </c>
      <c r="C78" s="46">
        <v>52361.56913753353</v>
      </c>
      <c r="D78" s="135">
        <v>2007746.5344081612</v>
      </c>
      <c r="E78" s="135"/>
      <c r="F78" s="83">
        <f>C78/D78</f>
        <v>0.026079770648424278</v>
      </c>
      <c r="G78" s="159"/>
      <c r="H78" s="54">
        <v>1.3751805869654952</v>
      </c>
      <c r="I78" s="72"/>
      <c r="J78" s="46">
        <f>C78*H78</f>
        <v>72006.61338098772</v>
      </c>
      <c r="K78" s="83">
        <f>F78*(H78)</f>
        <v>0.03586439430822559</v>
      </c>
      <c r="M78" s="63"/>
      <c r="N78" s="138">
        <f>B78-'Table 3.15-Route UAA NoPARS'!B78-'Table 3.16-Route UAA PARS'!B78</f>
        <v>0</v>
      </c>
      <c r="O78" s="138">
        <f>C78-'Table 3.15-Route UAA NoPARS'!C78-'Table 3.16-Route UAA PARS'!C78</f>
        <v>0</v>
      </c>
      <c r="P78" s="138">
        <f>D78-'Table 3.15-Route UAA NoPARS'!D78-'Table 3.16-Route UAA PARS'!D78</f>
        <v>0</v>
      </c>
      <c r="Q78" s="138">
        <f>J78-'Table 3.15-Route UAA NoPARS'!J78-'Table 3.16-Route UAA PARS'!J78</f>
        <v>0</v>
      </c>
    </row>
    <row r="79" spans="1:17" ht="12.75">
      <c r="A79" s="338" t="s">
        <v>136</v>
      </c>
      <c r="B79" s="135">
        <v>328.8405285346621</v>
      </c>
      <c r="C79" s="46">
        <v>11489.930698780456</v>
      </c>
      <c r="D79" s="135">
        <v>711743.8328369583</v>
      </c>
      <c r="E79" s="135"/>
      <c r="F79" s="83">
        <f>C79/D79</f>
        <v>0.016143351257407373</v>
      </c>
      <c r="G79" s="159"/>
      <c r="H79" s="54">
        <v>1.2686565014544036</v>
      </c>
      <c r="I79" s="72"/>
      <c r="J79" s="46">
        <f>C79*H79</f>
        <v>14576.775282268363</v>
      </c>
      <c r="K79" s="83">
        <f>F79*(H79)</f>
        <v>0.020480367527971985</v>
      </c>
      <c r="M79" s="63"/>
      <c r="N79" s="138">
        <f>B79-'Table 3.15-Route UAA NoPARS'!B79-'Table 3.16-Route UAA PARS'!B79</f>
        <v>0</v>
      </c>
      <c r="O79" s="138">
        <f>C79-'Table 3.15-Route UAA NoPARS'!C79-'Table 3.16-Route UAA PARS'!C79</f>
        <v>0</v>
      </c>
      <c r="P79" s="138">
        <f>D79-'Table 3.15-Route UAA NoPARS'!D79-'Table 3.16-Route UAA PARS'!D79</f>
        <v>0</v>
      </c>
      <c r="Q79" s="138">
        <f>J79-'Table 3.15-Route UAA NoPARS'!J79-'Table 3.16-Route UAA PARS'!J79</f>
        <v>0</v>
      </c>
    </row>
    <row r="80" spans="1:17" ht="12.75">
      <c r="A80" s="337" t="s">
        <v>137</v>
      </c>
      <c r="B80" s="135">
        <v>142.31670405610853</v>
      </c>
      <c r="C80" s="46">
        <v>5754.80363523524</v>
      </c>
      <c r="D80" s="135">
        <v>315805.4720323774</v>
      </c>
      <c r="E80" s="135"/>
      <c r="F80" s="83">
        <f>C80/D80</f>
        <v>0.018222621660733098</v>
      </c>
      <c r="G80" s="159"/>
      <c r="H80" s="54">
        <v>1.4666301987498853</v>
      </c>
      <c r="I80" s="72"/>
      <c r="J80" s="46">
        <f>C80*H80</f>
        <v>8440.168799311623</v>
      </c>
      <c r="K80" s="83">
        <f>F80*(H80)</f>
        <v>0.02672584722802495</v>
      </c>
      <c r="M80" s="63"/>
      <c r="N80" s="138">
        <f>B80-'Table 3.15-Route UAA NoPARS'!B80-'Table 3.16-Route UAA PARS'!B80</f>
        <v>0</v>
      </c>
      <c r="O80" s="138">
        <f>C80-'Table 3.15-Route UAA NoPARS'!C80-'Table 3.16-Route UAA PARS'!C80</f>
        <v>0</v>
      </c>
      <c r="P80" s="138">
        <f>D80-'Table 3.15-Route UAA NoPARS'!D80-'Table 3.16-Route UAA PARS'!D80</f>
        <v>0</v>
      </c>
      <c r="Q80" s="138">
        <f>J80-'Table 3.15-Route UAA NoPARS'!J80-'Table 3.16-Route UAA PARS'!J80</f>
        <v>0</v>
      </c>
    </row>
    <row r="81" spans="1:17" ht="12.75">
      <c r="A81" s="337" t="s">
        <v>107</v>
      </c>
      <c r="B81" s="135">
        <v>10.063375020791131</v>
      </c>
      <c r="C81" s="46">
        <v>364.43405666542793</v>
      </c>
      <c r="D81" s="135">
        <v>15255.482746381378</v>
      </c>
      <c r="E81" s="135"/>
      <c r="F81" s="83">
        <f>C81/D81</f>
        <v>0.02388872661219929</v>
      </c>
      <c r="G81" s="159"/>
      <c r="H81" s="54">
        <v>1.2686565014544036</v>
      </c>
      <c r="I81" s="72"/>
      <c r="J81" s="46">
        <f>C81*H81</f>
        <v>462.34163533999765</v>
      </c>
      <c r="K81" s="83">
        <f>F81*(H81)</f>
        <v>0.030306588328033457</v>
      </c>
      <c r="M81" s="63"/>
      <c r="N81" s="138">
        <f>B81-'Table 3.15-Route UAA NoPARS'!B81-'Table 3.16-Route UAA PARS'!B81</f>
        <v>0</v>
      </c>
      <c r="O81" s="138">
        <f>C81-'Table 3.15-Route UAA NoPARS'!C81-'Table 3.16-Route UAA PARS'!C81</f>
        <v>0</v>
      </c>
      <c r="P81" s="138">
        <f>D81-'Table 3.15-Route UAA NoPARS'!D81-'Table 3.16-Route UAA PARS'!D81</f>
        <v>0</v>
      </c>
      <c r="Q81" s="138">
        <f>J81-'Table 3.15-Route UAA NoPARS'!J81-'Table 3.16-Route UAA PARS'!J81</f>
        <v>0</v>
      </c>
    </row>
    <row r="82" spans="1:17" ht="12.75">
      <c r="A82" s="337" t="s">
        <v>102</v>
      </c>
      <c r="B82" s="135">
        <f>SUM(B78:B81)</f>
        <v>1546.8989281570618</v>
      </c>
      <c r="C82" s="46">
        <f>SUM(C78:C81)</f>
        <v>69970.73752821465</v>
      </c>
      <c r="D82" s="135">
        <f>SUM(D78:D81)</f>
        <v>3050551.3220238783</v>
      </c>
      <c r="E82" s="135"/>
      <c r="F82" s="83">
        <f>C82/D82</f>
        <v>0.0229370792823747</v>
      </c>
      <c r="G82" s="159"/>
      <c r="H82" s="54"/>
      <c r="I82" s="72"/>
      <c r="J82" s="46">
        <f>SUM(J78:J81)</f>
        <v>95485.8990979077</v>
      </c>
      <c r="K82" s="83">
        <f>SUMPRODUCT(K78:K81,D78:D81)/D82</f>
        <v>0.03130119411810383</v>
      </c>
      <c r="M82" s="63"/>
      <c r="N82" s="138">
        <f>B82-'Table 3.15-Route UAA NoPARS'!B82-'Table 3.16-Route UAA PARS'!B82</f>
        <v>0</v>
      </c>
      <c r="O82" s="138">
        <f>C82-'Table 3.15-Route UAA NoPARS'!C82-'Table 3.16-Route UAA PARS'!C82</f>
        <v>0</v>
      </c>
      <c r="P82" s="138">
        <f>D82-'Table 3.15-Route UAA NoPARS'!D82-'Table 3.16-Route UAA PARS'!D82</f>
        <v>0</v>
      </c>
      <c r="Q82" s="138">
        <f>J82-'Table 3.15-Route UAA NoPARS'!J82-'Table 3.16-Route UAA PARS'!J82</f>
        <v>0</v>
      </c>
    </row>
    <row r="83" spans="2:11" ht="4.5" customHeight="1">
      <c r="B83" s="57"/>
      <c r="C83" s="46"/>
      <c r="D83" s="44"/>
      <c r="E83" s="44"/>
      <c r="F83" s="45"/>
      <c r="G83" s="23"/>
      <c r="H83" s="55"/>
      <c r="I83" s="79"/>
      <c r="J83" s="46"/>
      <c r="K83" s="41"/>
    </row>
    <row r="84" ht="12.75" customHeight="1"/>
    <row r="85" ht="15.75">
      <c r="A85" s="158" t="s">
        <v>64</v>
      </c>
    </row>
    <row r="86" ht="15.75">
      <c r="A86" s="158" t="s">
        <v>787</v>
      </c>
    </row>
    <row r="87" spans="1:11" ht="25.5">
      <c r="A87" s="4"/>
      <c r="B87" s="189" t="s">
        <v>223</v>
      </c>
      <c r="C87" s="146" t="s">
        <v>217</v>
      </c>
      <c r="D87" s="168" t="s">
        <v>222</v>
      </c>
      <c r="E87" s="168"/>
      <c r="F87" s="169" t="s">
        <v>207</v>
      </c>
      <c r="G87" s="159"/>
      <c r="H87" s="190" t="s">
        <v>246</v>
      </c>
      <c r="I87" s="159"/>
      <c r="J87" s="189" t="s">
        <v>110</v>
      </c>
      <c r="K87" s="41" t="s">
        <v>133</v>
      </c>
    </row>
    <row r="88" spans="1:14" ht="12.75">
      <c r="A88" s="25" t="s">
        <v>390</v>
      </c>
      <c r="B88" s="57"/>
      <c r="C88" s="46"/>
      <c r="D88" s="44"/>
      <c r="E88" s="44"/>
      <c r="F88" s="45"/>
      <c r="G88" s="23"/>
      <c r="H88" s="55"/>
      <c r="I88" s="79"/>
      <c r="J88" s="46"/>
      <c r="K88" s="41"/>
      <c r="N88" s="63"/>
    </row>
    <row r="89" spans="1:16" ht="12.75">
      <c r="A89" s="21" t="s">
        <v>186</v>
      </c>
      <c r="B89" s="57"/>
      <c r="C89" s="46"/>
      <c r="D89" s="44"/>
      <c r="E89" s="44"/>
      <c r="F89" s="45"/>
      <c r="G89" s="23"/>
      <c r="H89" s="55"/>
      <c r="I89" s="79"/>
      <c r="J89" s="46"/>
      <c r="K89" s="41"/>
      <c r="N89" s="352"/>
      <c r="O89" s="352"/>
      <c r="P89" s="352"/>
    </row>
    <row r="90" spans="1:18" ht="12.75">
      <c r="A90" s="81" t="s">
        <v>138</v>
      </c>
      <c r="B90" s="56" t="s">
        <v>106</v>
      </c>
      <c r="C90" s="46">
        <f>SUM('Table 3.17-No Record Mail'!F6,'Table 3.17-No Record Mail'!F12)</f>
        <v>2864.498516437312</v>
      </c>
      <c r="D90" s="40">
        <v>62427.102604577456</v>
      </c>
      <c r="E90" s="184" t="s">
        <v>239</v>
      </c>
      <c r="F90" s="83">
        <f>C90/D90</f>
        <v>0.04588549519239218</v>
      </c>
      <c r="G90" s="285" t="s">
        <v>240</v>
      </c>
      <c r="H90" s="54">
        <v>1.359485895130023</v>
      </c>
      <c r="I90" s="72"/>
      <c r="J90" s="46">
        <f>C90*H90</f>
        <v>3894.245329717402</v>
      </c>
      <c r="K90" s="83">
        <f>F90*(H90)</f>
        <v>0.062380683505113645</v>
      </c>
      <c r="N90" s="352"/>
      <c r="O90" s="138">
        <f>C90-'Table 3.15-Route UAA NoPARS'!C90-'Table 3.16-Route UAA PARS'!C90</f>
        <v>0</v>
      </c>
      <c r="P90" s="138">
        <f>D90-'Table 3.15-Route UAA NoPARS'!D90-'Table 3.16-Route UAA PARS'!D90</f>
        <v>0</v>
      </c>
      <c r="Q90" s="138">
        <f>J90-'Table 3.15-Route UAA NoPARS'!J90-'Table 3.16-Route UAA PARS'!J90</f>
        <v>0</v>
      </c>
      <c r="R90" s="352"/>
    </row>
    <row r="91" spans="1:17" ht="12.75">
      <c r="A91" s="81" t="s">
        <v>781</v>
      </c>
      <c r="B91" s="56" t="s">
        <v>106</v>
      </c>
      <c r="C91" s="46">
        <f>SUM('Table 3.17-No Record Mail'!F7:F8,'Table 3.17-No Record Mail'!F13:F14)</f>
        <v>6641.933755754713</v>
      </c>
      <c r="D91" s="40">
        <v>62427.102604577456</v>
      </c>
      <c r="E91" s="184" t="s">
        <v>239</v>
      </c>
      <c r="F91" s="83">
        <f>C91/D91</f>
        <v>0.10639503482687172</v>
      </c>
      <c r="G91" s="285" t="s">
        <v>240</v>
      </c>
      <c r="H91" s="340">
        <v>1.5595101237373266</v>
      </c>
      <c r="I91" s="72"/>
      <c r="J91" s="46">
        <f>C91*H91</f>
        <v>10358.162933292158</v>
      </c>
      <c r="K91" s="83">
        <f>F91*(H91)</f>
        <v>0.1659241339278919</v>
      </c>
      <c r="L91" s="64"/>
      <c r="M91" s="442"/>
      <c r="O91" s="138">
        <f>C91-'Table 3.15-Route UAA NoPARS'!C91-'Table 3.16-Route UAA PARS'!C91</f>
        <v>0</v>
      </c>
      <c r="P91" s="138">
        <f>D91-'Table 3.15-Route UAA NoPARS'!D91-'Table 3.16-Route UAA PARS'!D91</f>
        <v>0</v>
      </c>
      <c r="Q91" s="138">
        <f>J91-'Table 3.15-Route UAA NoPARS'!J91-'Table 3.16-Route UAA PARS'!J91</f>
        <v>0</v>
      </c>
    </row>
    <row r="92" spans="1:11" ht="12.75">
      <c r="A92" s="21" t="s">
        <v>187</v>
      </c>
      <c r="B92" s="56"/>
      <c r="C92" s="42"/>
      <c r="D92" s="40"/>
      <c r="E92" s="40"/>
      <c r="F92" s="41"/>
      <c r="G92" s="159"/>
      <c r="H92" s="54"/>
      <c r="I92" s="72"/>
      <c r="J92" s="42"/>
      <c r="K92" s="41"/>
    </row>
    <row r="93" spans="1:17" ht="12.75">
      <c r="A93" s="81" t="s">
        <v>138</v>
      </c>
      <c r="B93" s="56" t="s">
        <v>106</v>
      </c>
      <c r="C93" s="46">
        <f>'Table 3.17-No Record Mail'!F18</f>
        <v>305.31143131109565</v>
      </c>
      <c r="D93" s="40">
        <v>6641.81184615314</v>
      </c>
      <c r="E93" s="184" t="s">
        <v>239</v>
      </c>
      <c r="F93" s="83">
        <f>C93/D93</f>
        <v>0.045968094005542845</v>
      </c>
      <c r="G93" s="285" t="s">
        <v>240</v>
      </c>
      <c r="H93" s="54">
        <v>1.359485895130023</v>
      </c>
      <c r="I93" s="72"/>
      <c r="J93" s="46">
        <f>C93*H93</f>
        <v>415.0665844893934</v>
      </c>
      <c r="K93" s="83">
        <f>F93*(H93)</f>
        <v>0.062492975426546464</v>
      </c>
      <c r="O93" s="138">
        <f>C93-'Table 3.15-Route UAA NoPARS'!C93-'Table 3.16-Route UAA PARS'!C93</f>
        <v>0</v>
      </c>
      <c r="P93" s="138">
        <f>D93-'Table 3.15-Route UAA NoPARS'!D93-'Table 3.16-Route UAA PARS'!D93</f>
        <v>0</v>
      </c>
      <c r="Q93" s="138">
        <f>J93-'Table 3.15-Route UAA NoPARS'!J93-'Table 3.16-Route UAA PARS'!J93</f>
        <v>0</v>
      </c>
    </row>
    <row r="94" spans="1:17" ht="12.75">
      <c r="A94" s="81" t="s">
        <v>781</v>
      </c>
      <c r="B94" s="56" t="s">
        <v>106</v>
      </c>
      <c r="C94" s="46">
        <f>SUM('Table 3.17-No Record Mail'!F19:F20)</f>
        <v>735.786826890529</v>
      </c>
      <c r="D94" s="40">
        <v>6641.81184615314</v>
      </c>
      <c r="E94" s="184" t="s">
        <v>239</v>
      </c>
      <c r="F94" s="83">
        <f>C94/D94</f>
        <v>0.11078104046513876</v>
      </c>
      <c r="G94" s="285" t="s">
        <v>240</v>
      </c>
      <c r="H94" s="340">
        <v>1.5595101237373266</v>
      </c>
      <c r="I94" s="79"/>
      <c r="J94" s="46">
        <f>C94*H94</f>
        <v>1147.4670054483438</v>
      </c>
      <c r="K94" s="83">
        <f>F94*(H94)</f>
        <v>0.17276415412353832</v>
      </c>
      <c r="L94" s="64"/>
      <c r="M94" s="442"/>
      <c r="O94" s="138">
        <f>C94-'Table 3.15-Route UAA NoPARS'!C94-'Table 3.16-Route UAA PARS'!C94</f>
        <v>0</v>
      </c>
      <c r="P94" s="138">
        <f>D94-'Table 3.15-Route UAA NoPARS'!D94-'Table 3.16-Route UAA PARS'!D94</f>
        <v>0</v>
      </c>
      <c r="Q94" s="138">
        <f>J94-'Table 3.15-Route UAA NoPARS'!J94-'Table 3.16-Route UAA PARS'!J94</f>
        <v>0</v>
      </c>
    </row>
    <row r="95" spans="1:11" ht="12.75">
      <c r="A95" s="81"/>
      <c r="B95" s="57"/>
      <c r="C95" s="46"/>
      <c r="D95" s="44"/>
      <c r="E95" s="44"/>
      <c r="F95" s="45"/>
      <c r="G95" s="23"/>
      <c r="H95" s="55"/>
      <c r="I95" s="79"/>
      <c r="J95" s="46"/>
      <c r="K95" s="41"/>
    </row>
    <row r="96" spans="1:11" ht="12.75">
      <c r="A96" s="25" t="s">
        <v>391</v>
      </c>
      <c r="B96" s="57"/>
      <c r="C96" s="46"/>
      <c r="D96" s="44"/>
      <c r="E96" s="44"/>
      <c r="F96" s="45"/>
      <c r="G96" s="23"/>
      <c r="H96" s="55"/>
      <c r="I96" s="79"/>
      <c r="J96" s="46"/>
      <c r="K96" s="41"/>
    </row>
    <row r="97" spans="1:11" ht="4.5" customHeight="1">
      <c r="A97" s="25"/>
      <c r="B97" s="57"/>
      <c r="C97" s="46"/>
      <c r="D97" s="44"/>
      <c r="E97" s="44"/>
      <c r="F97" s="45"/>
      <c r="G97" s="23"/>
      <c r="H97" s="55"/>
      <c r="I97" s="79"/>
      <c r="J97" s="46"/>
      <c r="K97" s="41"/>
    </row>
    <row r="98" spans="1:12" ht="12.75">
      <c r="A98" s="82" t="s">
        <v>284</v>
      </c>
      <c r="B98" s="57"/>
      <c r="C98" s="46"/>
      <c r="D98" s="44"/>
      <c r="E98" s="44"/>
      <c r="F98" s="45"/>
      <c r="G98" s="23"/>
      <c r="H98" s="55"/>
      <c r="I98" s="79"/>
      <c r="J98" s="46"/>
      <c r="K98" s="41"/>
      <c r="L98" s="47"/>
    </row>
    <row r="99" spans="1:17" ht="12.75">
      <c r="A99" s="338" t="s">
        <v>280</v>
      </c>
      <c r="B99" s="56" t="s">
        <v>106</v>
      </c>
      <c r="C99" s="46" t="s">
        <v>106</v>
      </c>
      <c r="D99" s="40">
        <f>D11</f>
        <v>1052294.5326382758</v>
      </c>
      <c r="E99" s="40"/>
      <c r="F99" s="56" t="s">
        <v>106</v>
      </c>
      <c r="G99" s="159"/>
      <c r="H99" s="56" t="s">
        <v>106</v>
      </c>
      <c r="I99" s="72"/>
      <c r="J99" s="46">
        <f>J11+SUM($J$90:$J$91)*D99/SUM($D$103,$D$109)</f>
        <v>75309.95407583921</v>
      </c>
      <c r="K99" s="83">
        <f>J99/D99</f>
        <v>0.07156737181464276</v>
      </c>
      <c r="P99" s="138">
        <f>D99-'Table 3.15-Route UAA NoPARS'!D99-'Table 3.16-Route UAA PARS'!D99</f>
        <v>0</v>
      </c>
      <c r="Q99" s="138">
        <f>J99-'Table 3.15-Route UAA NoPARS'!J99-'Table 3.16-Route UAA PARS'!J99</f>
        <v>0</v>
      </c>
    </row>
    <row r="100" spans="1:17" ht="12.75">
      <c r="A100" s="338" t="s">
        <v>287</v>
      </c>
      <c r="B100" s="56" t="s">
        <v>106</v>
      </c>
      <c r="C100" s="46" t="s">
        <v>106</v>
      </c>
      <c r="D100" s="40">
        <f>D18</f>
        <v>99294.21258093244</v>
      </c>
      <c r="E100" s="40"/>
      <c r="F100" s="56" t="s">
        <v>106</v>
      </c>
      <c r="G100" s="159"/>
      <c r="H100" s="56" t="s">
        <v>106</v>
      </c>
      <c r="I100" s="72"/>
      <c r="J100" s="46">
        <f>J18+SUM($J$90:$J$91)*D100/SUM($D$103,$D$109)</f>
        <v>6866.948619329595</v>
      </c>
      <c r="K100" s="83">
        <f>J100/D100</f>
        <v>0.06915759177537667</v>
      </c>
      <c r="P100" s="138">
        <f>D100-'Table 3.15-Route UAA NoPARS'!D100-'Table 3.16-Route UAA PARS'!D100</f>
        <v>0</v>
      </c>
      <c r="Q100" s="138">
        <f>J100-'Table 3.15-Route UAA NoPARS'!J100-'Table 3.16-Route UAA PARS'!J100</f>
        <v>0</v>
      </c>
    </row>
    <row r="101" spans="1:17" ht="12.75">
      <c r="A101" s="338" t="s">
        <v>282</v>
      </c>
      <c r="B101" s="56" t="s">
        <v>106</v>
      </c>
      <c r="C101" s="46" t="s">
        <v>106</v>
      </c>
      <c r="D101" s="40">
        <f>D25</f>
        <v>229883.33417149645</v>
      </c>
      <c r="E101" s="40"/>
      <c r="F101" s="56" t="s">
        <v>106</v>
      </c>
      <c r="G101" s="159"/>
      <c r="H101" s="56" t="s">
        <v>106</v>
      </c>
      <c r="I101" s="72"/>
      <c r="J101" s="46">
        <f>J25+SUM($J$90:$J$91)*D101/SUM($D$103,$D$109)</f>
        <v>19826.872970239143</v>
      </c>
      <c r="K101" s="83">
        <f>J101/D101</f>
        <v>0.08624754396266063</v>
      </c>
      <c r="P101" s="138">
        <f>D101-'Table 3.15-Route UAA NoPARS'!D101-'Table 3.16-Route UAA PARS'!D101</f>
        <v>0</v>
      </c>
      <c r="Q101" s="138">
        <f>J101-'Table 3.15-Route UAA NoPARS'!J101-'Table 3.16-Route UAA PARS'!J101</f>
        <v>0</v>
      </c>
    </row>
    <row r="102" spans="1:17" ht="12.75">
      <c r="A102" s="338" t="s">
        <v>276</v>
      </c>
      <c r="B102" s="56" t="s">
        <v>106</v>
      </c>
      <c r="C102" s="46" t="s">
        <v>106</v>
      </c>
      <c r="D102" s="40">
        <f>D32</f>
        <v>52542.109457018676</v>
      </c>
      <c r="E102" s="40"/>
      <c r="F102" s="56" t="s">
        <v>106</v>
      </c>
      <c r="G102" s="159"/>
      <c r="H102" s="56" t="s">
        <v>106</v>
      </c>
      <c r="I102" s="72"/>
      <c r="J102" s="46">
        <f>J32+SUM($J$90:$J$91)*D102/SUM($D$103,$D$109)</f>
        <v>3872.0139108534545</v>
      </c>
      <c r="K102" s="83">
        <f>J102/D102</f>
        <v>0.07369353744772848</v>
      </c>
      <c r="P102" s="138">
        <f>D102-'Table 3.15-Route UAA NoPARS'!D102-'Table 3.16-Route UAA PARS'!D102</f>
        <v>0</v>
      </c>
      <c r="Q102" s="138">
        <f>J102-'Table 3.15-Route UAA NoPARS'!J102-'Table 3.16-Route UAA PARS'!J102</f>
        <v>0</v>
      </c>
    </row>
    <row r="103" spans="1:17" ht="12.75">
      <c r="A103" s="338" t="s">
        <v>281</v>
      </c>
      <c r="B103" s="56"/>
      <c r="C103" s="46"/>
      <c r="D103" s="40">
        <f>SUM(D99:D102)</f>
        <v>1434014.1888477234</v>
      </c>
      <c r="E103" s="40"/>
      <c r="F103" s="56"/>
      <c r="G103" s="159"/>
      <c r="H103" s="56"/>
      <c r="I103" s="72"/>
      <c r="J103" s="46">
        <f>SUM(J99:J102)</f>
        <v>105875.78957626139</v>
      </c>
      <c r="K103" s="83">
        <f>J103/D103</f>
        <v>0.07383175870898182</v>
      </c>
      <c r="P103" s="138">
        <f>D103-'Table 3.15-Route UAA NoPARS'!D103-'Table 3.16-Route UAA PARS'!D103</f>
        <v>0</v>
      </c>
      <c r="Q103" s="138">
        <f>J103-'Table 3.15-Route UAA NoPARS'!J103-'Table 3.16-Route UAA PARS'!J103</f>
        <v>0</v>
      </c>
    </row>
    <row r="104" spans="1:11" ht="4.5" customHeight="1">
      <c r="A104" s="21"/>
      <c r="B104" s="56"/>
      <c r="C104" s="46"/>
      <c r="D104" s="40"/>
      <c r="E104" s="40"/>
      <c r="F104" s="56"/>
      <c r="G104" s="159"/>
      <c r="H104" s="56"/>
      <c r="I104" s="72"/>
      <c r="J104" s="46"/>
      <c r="K104" s="83"/>
    </row>
    <row r="105" ht="12.75">
      <c r="A105" s="82" t="s">
        <v>392</v>
      </c>
    </row>
    <row r="106" spans="1:17" ht="12.75">
      <c r="A106" s="338" t="s">
        <v>386</v>
      </c>
      <c r="B106" s="56" t="s">
        <v>106</v>
      </c>
      <c r="C106" s="46" t="s">
        <v>106</v>
      </c>
      <c r="D106" s="40">
        <f>D52</f>
        <v>368440.7824834399</v>
      </c>
      <c r="E106" s="40"/>
      <c r="F106" s="56" t="s">
        <v>106</v>
      </c>
      <c r="G106" s="159"/>
      <c r="H106" s="56" t="s">
        <v>106</v>
      </c>
      <c r="I106" s="72"/>
      <c r="J106" s="46">
        <f>J52+SUM($J$90:$J$91)*D106/SUM($D$103,$D$109)</f>
        <v>25441.63186953027</v>
      </c>
      <c r="K106" s="83">
        <f aca="true" t="shared" si="2" ref="K106:K111">J106/D106</f>
        <v>0.06905216001888656</v>
      </c>
      <c r="P106" s="138">
        <f>D106-'Table 3.15-Route UAA NoPARS'!D106-'Table 3.16-Route UAA PARS'!D106</f>
        <v>0</v>
      </c>
      <c r="Q106" s="138">
        <f>J106-'Table 3.15-Route UAA NoPARS'!J106-'Table 3.16-Route UAA PARS'!J106</f>
        <v>0</v>
      </c>
    </row>
    <row r="107" spans="1:17" ht="12.75">
      <c r="A107" s="338" t="s">
        <v>393</v>
      </c>
      <c r="B107" s="56" t="s">
        <v>106</v>
      </c>
      <c r="C107" s="46" t="s">
        <v>106</v>
      </c>
      <c r="D107" s="40">
        <f>D60</f>
        <v>122222.19212092187</v>
      </c>
      <c r="E107" s="40"/>
      <c r="F107" s="56" t="s">
        <v>106</v>
      </c>
      <c r="G107" s="159"/>
      <c r="H107" s="56" t="s">
        <v>106</v>
      </c>
      <c r="I107" s="72"/>
      <c r="J107" s="46">
        <f>J60+SUM($J$90:$J$91)*D107/SUM($D$103,$D$109)</f>
        <v>8450.493678903247</v>
      </c>
      <c r="K107" s="83">
        <f t="shared" si="2"/>
        <v>0.06914041985552556</v>
      </c>
      <c r="P107" s="138">
        <f>D107-'Table 3.15-Route UAA NoPARS'!D107-'Table 3.16-Route UAA PARS'!D107</f>
        <v>0</v>
      </c>
      <c r="Q107" s="138">
        <f>J107-'Table 3.15-Route UAA NoPARS'!J107-'Table 3.16-Route UAA PARS'!J107</f>
        <v>0</v>
      </c>
    </row>
    <row r="108" spans="1:17" ht="12.75">
      <c r="A108" s="338" t="s">
        <v>388</v>
      </c>
      <c r="B108" s="56" t="s">
        <v>106</v>
      </c>
      <c r="C108" s="46" t="s">
        <v>106</v>
      </c>
      <c r="D108" s="40">
        <f>D67</f>
        <v>86081.50413240575</v>
      </c>
      <c r="E108" s="40"/>
      <c r="F108" s="56" t="s">
        <v>106</v>
      </c>
      <c r="G108" s="159"/>
      <c r="H108" s="56" t="s">
        <v>106</v>
      </c>
      <c r="I108" s="72"/>
      <c r="J108" s="46">
        <f>J67+SUM($J$90:$J$91)*D108/SUM($D$103,$D$109)</f>
        <v>6376.45479451629</v>
      </c>
      <c r="K108" s="83">
        <f t="shared" si="2"/>
        <v>0.07407462100927494</v>
      </c>
      <c r="P108" s="138">
        <f>D108-'Table 3.15-Route UAA NoPARS'!D108-'Table 3.16-Route UAA PARS'!D108</f>
        <v>0</v>
      </c>
      <c r="Q108" s="138">
        <f>J108-'Table 3.15-Route UAA NoPARS'!J108-'Table 3.16-Route UAA PARS'!J108</f>
        <v>0</v>
      </c>
    </row>
    <row r="109" spans="1:17" ht="12.75">
      <c r="A109" s="338" t="s">
        <v>394</v>
      </c>
      <c r="B109" s="56"/>
      <c r="C109" s="46"/>
      <c r="D109" s="40">
        <f>SUM(D106:D108)</f>
        <v>576744.4787367675</v>
      </c>
      <c r="E109" s="40"/>
      <c r="F109" s="56"/>
      <c r="G109" s="159"/>
      <c r="H109" s="56"/>
      <c r="I109" s="72"/>
      <c r="J109" s="46">
        <f>SUM(J106:J108)</f>
        <v>40268.580342949805</v>
      </c>
      <c r="K109" s="83">
        <f t="shared" si="2"/>
        <v>0.06982048693582522</v>
      </c>
      <c r="P109" s="138">
        <f>D109-'Table 3.15-Route UAA NoPARS'!D109-'Table 3.16-Route UAA PARS'!D109</f>
        <v>0</v>
      </c>
      <c r="Q109" s="138">
        <f>J109-'Table 3.15-Route UAA NoPARS'!J109-'Table 3.16-Route UAA PARS'!J109</f>
        <v>0</v>
      </c>
    </row>
    <row r="110" spans="1:11" ht="4.5" customHeight="1">
      <c r="A110" s="21"/>
      <c r="B110" s="56"/>
      <c r="C110" s="46"/>
      <c r="D110" s="40"/>
      <c r="E110" s="40"/>
      <c r="F110" s="56"/>
      <c r="G110" s="159"/>
      <c r="H110" s="56"/>
      <c r="I110" s="72"/>
      <c r="J110" s="46"/>
      <c r="K110" s="83"/>
    </row>
    <row r="111" spans="1:17" ht="12.75">
      <c r="A111" s="82" t="s">
        <v>286</v>
      </c>
      <c r="B111" s="56" t="s">
        <v>106</v>
      </c>
      <c r="C111" s="46" t="s">
        <v>106</v>
      </c>
      <c r="D111" s="40">
        <f>D82</f>
        <v>3050551.3220238783</v>
      </c>
      <c r="E111" s="40"/>
      <c r="F111" s="56"/>
      <c r="G111" s="159"/>
      <c r="H111" s="56"/>
      <c r="I111" s="72"/>
      <c r="J111" s="46">
        <f>SUM(J93:J94)+J82</f>
        <v>97048.43268784544</v>
      </c>
      <c r="K111" s="83">
        <f t="shared" si="2"/>
        <v>0.031813407624776156</v>
      </c>
      <c r="P111" s="138">
        <f>D111-'Table 3.15-Route UAA NoPARS'!D111-'Table 3.16-Route UAA PARS'!D111</f>
        <v>0</v>
      </c>
      <c r="Q111" s="138">
        <f>J111-'Table 3.15-Route UAA NoPARS'!J111-'Table 3.16-Route UAA PARS'!J111</f>
        <v>0</v>
      </c>
    </row>
    <row r="112" spans="1:11" ht="12.75" hidden="1">
      <c r="A112" s="341"/>
      <c r="B112" s="56"/>
      <c r="C112" s="46"/>
      <c r="D112" s="40"/>
      <c r="E112" s="40"/>
      <c r="F112" s="56"/>
      <c r="G112" s="159"/>
      <c r="H112" s="56"/>
      <c r="I112" s="72"/>
      <c r="J112" s="46"/>
      <c r="K112" s="83"/>
    </row>
    <row r="113" spans="2:11" ht="12.75" hidden="1">
      <c r="B113" s="69"/>
      <c r="C113" s="70"/>
      <c r="D113" s="37"/>
      <c r="E113" s="37"/>
      <c r="F113" s="38"/>
      <c r="G113" s="2"/>
      <c r="H113" s="4"/>
      <c r="I113" s="2"/>
      <c r="J113" s="2"/>
      <c r="K113" s="71"/>
    </row>
    <row r="114" spans="1:10" ht="12.75" hidden="1">
      <c r="A114" s="127" t="s">
        <v>191</v>
      </c>
      <c r="B114" s="339">
        <v>0</v>
      </c>
      <c r="C114" s="339">
        <v>0</v>
      </c>
      <c r="D114" s="339">
        <v>0</v>
      </c>
      <c r="E114" s="128"/>
      <c r="H114" s="126"/>
      <c r="I114" s="127"/>
      <c r="J114" s="339">
        <f>SUM(J103,J109)-J39-J74-SUM(J90:J91)</f>
        <v>-2.3646862246096134E-11</v>
      </c>
    </row>
    <row r="115" spans="1:10" ht="12.75" hidden="1">
      <c r="A115" s="127"/>
      <c r="B115" s="339">
        <v>0</v>
      </c>
      <c r="C115" s="339">
        <v>0</v>
      </c>
      <c r="D115" s="339">
        <v>0</v>
      </c>
      <c r="E115" s="128"/>
      <c r="H115" s="126"/>
      <c r="I115" s="127"/>
      <c r="J115" s="339">
        <f>J111-J82-J93-J94</f>
        <v>0</v>
      </c>
    </row>
    <row r="116" spans="2:10" ht="12.75" hidden="1">
      <c r="B116" s="339">
        <v>0</v>
      </c>
      <c r="C116" s="339">
        <v>0</v>
      </c>
      <c r="D116" s="339">
        <v>0</v>
      </c>
      <c r="H116" s="127"/>
      <c r="I116" s="127"/>
      <c r="J116" s="339">
        <v>0</v>
      </c>
    </row>
    <row r="117" spans="2:10" ht="12.75" hidden="1">
      <c r="B117" s="339">
        <v>0</v>
      </c>
      <c r="C117" s="339">
        <v>0</v>
      </c>
      <c r="D117" s="339">
        <v>0</v>
      </c>
      <c r="H117" s="342"/>
      <c r="I117" s="342"/>
      <c r="J117" s="339">
        <v>0</v>
      </c>
    </row>
    <row r="118" spans="2:10" ht="12.75" hidden="1">
      <c r="B118" s="339"/>
      <c r="C118" s="339"/>
      <c r="D118" s="339">
        <v>9.313225746154785E-10</v>
      </c>
      <c r="H118" s="342"/>
      <c r="I118" s="342"/>
      <c r="J118" s="339">
        <v>0</v>
      </c>
    </row>
    <row r="119" spans="1:5" ht="12.75">
      <c r="A119" s="141"/>
      <c r="B119" s="290"/>
      <c r="C119" s="291"/>
      <c r="D119" s="282"/>
      <c r="E119" s="37"/>
    </row>
    <row r="120" ht="12.75">
      <c r="A120" s="11" t="s">
        <v>235</v>
      </c>
    </row>
    <row r="121" ht="12.75">
      <c r="A121" s="25" t="s">
        <v>796</v>
      </c>
    </row>
    <row r="122" ht="12.75">
      <c r="A122" s="25" t="s">
        <v>795</v>
      </c>
    </row>
    <row r="123" ht="12.75">
      <c r="A123" s="25" t="s">
        <v>797</v>
      </c>
    </row>
    <row r="124" ht="12.75">
      <c r="A124" s="145" t="s">
        <v>91</v>
      </c>
    </row>
  </sheetData>
  <sheetProtection/>
  <printOptions horizontalCentered="1"/>
  <pageMargins left="0.75" right="0.75" top="1" bottom="1" header="0.5" footer="0.5"/>
  <pageSetup fitToHeight="3" horizontalDpi="600" verticalDpi="600" orientation="landscape" scale="92" r:id="rId3"/>
  <headerFooter alignWithMargins="0">
    <oddFooter>&amp;L&amp;F</oddFooter>
  </headerFooter>
  <rowBreaks count="2" manualBreakCount="2">
    <brk id="41" max="10" man="1"/>
    <brk id="84" max="10" man="1"/>
  </rowBreaks>
  <legacyDrawing r:id="rId2"/>
</worksheet>
</file>

<file path=xl/worksheets/sheet16.xml><?xml version="1.0" encoding="utf-8"?>
<worksheet xmlns="http://schemas.openxmlformats.org/spreadsheetml/2006/main" xmlns:r="http://schemas.openxmlformats.org/officeDocument/2006/relationships">
  <dimension ref="A1:T124"/>
  <sheetViews>
    <sheetView zoomScale="70" zoomScaleNormal="70" zoomScalePageLayoutView="0" workbookViewId="0" topLeftCell="A1">
      <selection activeCell="A1" sqref="A1"/>
    </sheetView>
  </sheetViews>
  <sheetFormatPr defaultColWidth="9.140625" defaultRowHeight="12.75"/>
  <cols>
    <col min="1" max="1" width="43.28125" style="11" customWidth="1"/>
    <col min="2" max="2" width="11.7109375" style="62" customWidth="1"/>
    <col min="3" max="3" width="11.7109375" style="52" customWidth="1"/>
    <col min="4" max="4" width="11.7109375" style="53" customWidth="1"/>
    <col min="5" max="5" width="2.7109375" style="53" customWidth="1"/>
    <col min="6" max="6" width="11.7109375" style="64" customWidth="1"/>
    <col min="7" max="7" width="2.7109375" style="24" customWidth="1"/>
    <col min="8" max="8" width="11.7109375" style="11" customWidth="1"/>
    <col min="9" max="9" width="2.28125" style="24" customWidth="1"/>
    <col min="10" max="10" width="11.7109375" style="24" customWidth="1"/>
    <col min="11" max="11" width="11.7109375" style="64" customWidth="1"/>
    <col min="12" max="12" width="9.140625" style="11" customWidth="1"/>
    <col min="13" max="13" width="11.28125" style="11" bestFit="1" customWidth="1"/>
    <col min="14" max="14" width="11.140625" style="11" bestFit="1" customWidth="1"/>
    <col min="15" max="16384" width="9.140625" style="11" customWidth="1"/>
  </cols>
  <sheetData>
    <row r="1" ht="15.75" customHeight="1">
      <c r="A1" s="158" t="s">
        <v>672</v>
      </c>
    </row>
    <row r="2" ht="15.75" customHeight="1">
      <c r="A2" s="158" t="s">
        <v>787</v>
      </c>
    </row>
    <row r="3" spans="2:11" s="4" customFormat="1" ht="38.25">
      <c r="B3" s="189" t="s">
        <v>248</v>
      </c>
      <c r="C3" s="146" t="s">
        <v>249</v>
      </c>
      <c r="D3" s="168" t="s">
        <v>250</v>
      </c>
      <c r="E3" s="168"/>
      <c r="F3" s="169" t="s">
        <v>207</v>
      </c>
      <c r="G3" s="159"/>
      <c r="H3" s="190" t="s">
        <v>246</v>
      </c>
      <c r="I3" s="159"/>
      <c r="J3" s="189" t="s">
        <v>110</v>
      </c>
      <c r="K3" s="41" t="s">
        <v>133</v>
      </c>
    </row>
    <row r="4" spans="1:11" ht="12.75">
      <c r="A4" s="15" t="s">
        <v>283</v>
      </c>
      <c r="B4" s="65"/>
      <c r="C4" s="39"/>
      <c r="D4" s="37"/>
      <c r="E4" s="37"/>
      <c r="F4" s="38"/>
      <c r="G4" s="2"/>
      <c r="H4" s="66"/>
      <c r="I4" s="2"/>
      <c r="J4" s="2"/>
      <c r="K4" s="38"/>
    </row>
    <row r="5" spans="1:11" ht="4.5" customHeight="1">
      <c r="A5" s="49"/>
      <c r="B5" s="65"/>
      <c r="C5" s="39"/>
      <c r="D5" s="37"/>
      <c r="E5" s="37"/>
      <c r="F5" s="38"/>
      <c r="G5" s="2"/>
      <c r="H5" s="66"/>
      <c r="I5" s="2"/>
      <c r="J5" s="2"/>
      <c r="K5" s="38"/>
    </row>
    <row r="6" spans="1:11" ht="12.75">
      <c r="A6" s="82" t="s">
        <v>275</v>
      </c>
      <c r="B6" s="57"/>
      <c r="C6" s="67"/>
      <c r="D6" s="40"/>
      <c r="E6" s="40"/>
      <c r="F6" s="41"/>
      <c r="G6" s="43"/>
      <c r="H6" s="54"/>
      <c r="I6" s="68"/>
      <c r="J6" s="68"/>
      <c r="K6" s="41"/>
    </row>
    <row r="7" spans="1:11" ht="12.75">
      <c r="A7" s="337" t="s">
        <v>135</v>
      </c>
      <c r="B7" s="135">
        <v>97.36590757568477</v>
      </c>
      <c r="C7" s="46">
        <v>3422.627061314207</v>
      </c>
      <c r="D7" s="135">
        <v>48459.925615478736</v>
      </c>
      <c r="E7" s="135"/>
      <c r="F7" s="83">
        <f>IF(D7&lt;&gt;0,C7/D7,0)</f>
        <v>0.07062798833972983</v>
      </c>
      <c r="G7" s="159"/>
      <c r="H7" s="54">
        <v>1.3751805869654952</v>
      </c>
      <c r="I7" s="72"/>
      <c r="J7" s="46">
        <f>C7*H7</f>
        <v>4706.730291142059</v>
      </c>
      <c r="K7" s="83">
        <f>F7*(H7)</f>
        <v>0.09712623846122181</v>
      </c>
    </row>
    <row r="8" spans="1:11" ht="12.75" customHeight="1">
      <c r="A8" s="338" t="s">
        <v>136</v>
      </c>
      <c r="B8" s="135">
        <v>21.507146709137647</v>
      </c>
      <c r="C8" s="46">
        <v>765.4220020584421</v>
      </c>
      <c r="D8" s="135">
        <v>10755.561015255462</v>
      </c>
      <c r="E8" s="135"/>
      <c r="F8" s="83">
        <f>IF(D8&lt;&gt;0,C8/D8,0)</f>
        <v>0.07116523266176293</v>
      </c>
      <c r="G8" s="159"/>
      <c r="H8" s="54">
        <v>1.2686565014544036</v>
      </c>
      <c r="I8" s="72"/>
      <c r="J8" s="46">
        <f>C8*H8</f>
        <v>971.0575992676885</v>
      </c>
      <c r="K8" s="83">
        <f>F8*(H8)</f>
        <v>0.09028423509386081</v>
      </c>
    </row>
    <row r="9" spans="1:11" ht="12.75">
      <c r="A9" s="337" t="s">
        <v>137</v>
      </c>
      <c r="B9" s="135">
        <v>19.33392049866349</v>
      </c>
      <c r="C9" s="46">
        <v>772.3021839291127</v>
      </c>
      <c r="D9" s="135">
        <v>7436.253657533938</v>
      </c>
      <c r="E9" s="135"/>
      <c r="F9" s="83">
        <f>IF(D9&lt;&gt;0,C9/D9,0)</f>
        <v>0.10385635287557268</v>
      </c>
      <c r="G9" s="159"/>
      <c r="H9" s="54">
        <v>1.4666301987498853</v>
      </c>
      <c r="I9" s="48"/>
      <c r="J9" s="46">
        <f>C9*H9</f>
        <v>1132.6817055109252</v>
      </c>
      <c r="K9" s="83">
        <f>F9*(H9)</f>
        <v>0.1523188634593394</v>
      </c>
    </row>
    <row r="10" spans="1:11" ht="12.75">
      <c r="A10" s="337" t="s">
        <v>107</v>
      </c>
      <c r="B10" s="135">
        <v>0.5634823124311923</v>
      </c>
      <c r="C10" s="46">
        <v>20.40589211415196</v>
      </c>
      <c r="D10" s="135">
        <v>491.964442945302</v>
      </c>
      <c r="E10" s="135"/>
      <c r="F10" s="83">
        <f>IF(D10&lt;&gt;0,C10/D10,0)</f>
        <v>0.04147838813712955</v>
      </c>
      <c r="G10" s="159"/>
      <c r="H10" s="54">
        <v>1.2686565014544036</v>
      </c>
      <c r="I10" s="72"/>
      <c r="J10" s="46">
        <f>C10*H10</f>
        <v>25.88806769859603</v>
      </c>
      <c r="K10" s="83">
        <f>F10*(H10)</f>
        <v>0.05262182678001861</v>
      </c>
    </row>
    <row r="11" spans="1:12" ht="12.75">
      <c r="A11" s="337" t="s">
        <v>277</v>
      </c>
      <c r="B11" s="135">
        <f>SUM(B7:B10)</f>
        <v>138.77045709591712</v>
      </c>
      <c r="C11" s="46">
        <f>SUM(C7:C10)</f>
        <v>4980.757139415914</v>
      </c>
      <c r="D11" s="135">
        <f>SUM(D7:D10)</f>
        <v>67143.70473121344</v>
      </c>
      <c r="E11" s="135"/>
      <c r="F11" s="83">
        <f>IF(D11&lt;&gt;0,C11/D11,0)</f>
        <v>0.07418055288064085</v>
      </c>
      <c r="G11" s="159"/>
      <c r="H11" s="54"/>
      <c r="I11" s="72"/>
      <c r="J11" s="46">
        <f>SUM(J7:J10)</f>
        <v>6836.357663619269</v>
      </c>
      <c r="K11" s="83">
        <f>SUMPRODUCT(K7:K10,D7:D10)/D11</f>
        <v>0.10181680756202326</v>
      </c>
      <c r="L11" s="84"/>
    </row>
    <row r="12" spans="1:12" ht="4.5" customHeight="1">
      <c r="A12" s="21"/>
      <c r="B12" s="135"/>
      <c r="C12" s="46"/>
      <c r="D12" s="135"/>
      <c r="E12" s="135"/>
      <c r="F12" s="83"/>
      <c r="G12" s="159"/>
      <c r="H12" s="54"/>
      <c r="I12" s="72"/>
      <c r="J12" s="46"/>
      <c r="K12" s="83"/>
      <c r="L12" s="84"/>
    </row>
    <row r="13" spans="1:12" ht="12.75">
      <c r="A13" s="89" t="s">
        <v>383</v>
      </c>
      <c r="B13" s="135"/>
      <c r="C13" s="46"/>
      <c r="D13" s="135"/>
      <c r="E13" s="135"/>
      <c r="F13" s="83"/>
      <c r="G13" s="159"/>
      <c r="H13" s="54"/>
      <c r="I13" s="72"/>
      <c r="J13" s="46"/>
      <c r="K13" s="83"/>
      <c r="L13" s="84"/>
    </row>
    <row r="14" spans="1:12" ht="12.75">
      <c r="A14" s="337" t="s">
        <v>135</v>
      </c>
      <c r="B14" s="135">
        <v>2.5878851637114515</v>
      </c>
      <c r="C14" s="46">
        <v>93.69383942381003</v>
      </c>
      <c r="D14" s="135">
        <v>1126.962666628655</v>
      </c>
      <c r="E14" s="135"/>
      <c r="F14" s="83">
        <f>IF(D14&lt;&gt;0,C14/D14,0)</f>
        <v>0.08313837023909423</v>
      </c>
      <c r="G14" s="159"/>
      <c r="H14" s="54">
        <v>1.3751805869654952</v>
      </c>
      <c r="I14" s="72"/>
      <c r="J14" s="46">
        <f>C14*H14</f>
        <v>128.84594909388593</v>
      </c>
      <c r="K14" s="83">
        <f>F14*(H14)</f>
        <v>0.11433027278475226</v>
      </c>
      <c r="L14" s="84"/>
    </row>
    <row r="15" spans="1:12" ht="12.75">
      <c r="A15" s="338" t="s">
        <v>136</v>
      </c>
      <c r="B15" s="135">
        <v>1.7812054834145947</v>
      </c>
      <c r="C15" s="46">
        <v>75.21593591079194</v>
      </c>
      <c r="D15" s="135">
        <v>802.3280677788314</v>
      </c>
      <c r="E15" s="135"/>
      <c r="F15" s="83">
        <f>IF(D15&lt;&gt;0,C15/D15,0)</f>
        <v>0.09374710786202467</v>
      </c>
      <c r="G15" s="159"/>
      <c r="H15" s="54">
        <v>1.2686565014544036</v>
      </c>
      <c r="I15" s="72"/>
      <c r="J15" s="46">
        <f>C15*H15</f>
        <v>95.42318610620394</v>
      </c>
      <c r="K15" s="83">
        <f>F15*(H15)</f>
        <v>0.11893287788170483</v>
      </c>
      <c r="L15" s="84"/>
    </row>
    <row r="16" spans="1:12" ht="12.75">
      <c r="A16" s="337" t="s">
        <v>137</v>
      </c>
      <c r="B16" s="135">
        <v>11.05599844994468</v>
      </c>
      <c r="C16" s="46">
        <v>97.44349373762041</v>
      </c>
      <c r="D16" s="135">
        <v>2354.9766956831477</v>
      </c>
      <c r="E16" s="135"/>
      <c r="F16" s="83">
        <f>IF(D16&lt;&gt;0,C16/D16,0)</f>
        <v>0.04137768917893828</v>
      </c>
      <c r="G16" s="159"/>
      <c r="H16" s="54">
        <v>1.4666301987498853</v>
      </c>
      <c r="I16" s="72"/>
      <c r="J16" s="46">
        <f>C16*H16</f>
        <v>142.91357058728943</v>
      </c>
      <c r="K16" s="83">
        <f>F16*(H16)</f>
        <v>0.060685768504317235</v>
      </c>
      <c r="L16" s="84"/>
    </row>
    <row r="17" spans="1:12" ht="12.75" customHeight="1">
      <c r="A17" s="337" t="s">
        <v>107</v>
      </c>
      <c r="B17" s="135">
        <v>0</v>
      </c>
      <c r="C17" s="46">
        <v>0</v>
      </c>
      <c r="D17" s="135">
        <v>0</v>
      </c>
      <c r="E17" s="135"/>
      <c r="F17" s="83">
        <f>IF(D17&lt;&gt;0,C17/D17,0)</f>
        <v>0</v>
      </c>
      <c r="G17" s="159"/>
      <c r="H17" s="54">
        <v>1.2686565014544036</v>
      </c>
      <c r="I17" s="72"/>
      <c r="J17" s="46">
        <f>C17*H17</f>
        <v>0</v>
      </c>
      <c r="K17" s="83">
        <f>F17*(H17)</f>
        <v>0</v>
      </c>
      <c r="L17" s="84"/>
    </row>
    <row r="18" spans="1:12" ht="12.75">
      <c r="A18" s="337" t="s">
        <v>277</v>
      </c>
      <c r="B18" s="135">
        <f>SUM(B14:B17)</f>
        <v>15.425089097070725</v>
      </c>
      <c r="C18" s="46">
        <f>SUM(C14:C17)</f>
        <v>266.3532690722224</v>
      </c>
      <c r="D18" s="135">
        <f>SUM(D14:D17)</f>
        <v>4284.267430090634</v>
      </c>
      <c r="E18" s="135"/>
      <c r="F18" s="83">
        <f>IF(D18&lt;&gt;0,C18/D18,0)</f>
        <v>0.062170084715413694</v>
      </c>
      <c r="G18" s="159"/>
      <c r="H18" s="54"/>
      <c r="I18" s="72"/>
      <c r="J18" s="46">
        <f>SUM(J14:J17)</f>
        <v>367.1827057873793</v>
      </c>
      <c r="K18" s="83">
        <f>SUMPRODUCT(K14:K17,D14:D17)/D18</f>
        <v>0.08570489862711757</v>
      </c>
      <c r="L18" s="84"/>
    </row>
    <row r="19" spans="1:12" ht="4.5" customHeight="1">
      <c r="A19" s="81"/>
      <c r="B19" s="135"/>
      <c r="C19" s="135"/>
      <c r="D19" s="135"/>
      <c r="E19" s="135"/>
      <c r="F19" s="83"/>
      <c r="G19" s="159"/>
      <c r="H19" s="54"/>
      <c r="I19" s="72"/>
      <c r="J19" s="46"/>
      <c r="K19" s="83"/>
      <c r="L19" s="84"/>
    </row>
    <row r="20" spans="1:12" ht="12.75" customHeight="1">
      <c r="A20" s="89" t="s">
        <v>384</v>
      </c>
      <c r="B20" s="135"/>
      <c r="C20" s="135"/>
      <c r="D20" s="135"/>
      <c r="E20" s="135"/>
      <c r="F20" s="83"/>
      <c r="G20" s="159"/>
      <c r="H20" s="54"/>
      <c r="I20" s="72"/>
      <c r="J20" s="46"/>
      <c r="K20" s="83"/>
      <c r="L20" s="84"/>
    </row>
    <row r="21" spans="1:12" ht="12.75" customHeight="1">
      <c r="A21" s="337" t="s">
        <v>135</v>
      </c>
      <c r="B21" s="135">
        <v>117.13342623877477</v>
      </c>
      <c r="C21" s="46">
        <v>3945.6790792045026</v>
      </c>
      <c r="D21" s="135">
        <v>43812.34294412787</v>
      </c>
      <c r="E21" s="135"/>
      <c r="F21" s="83">
        <f>IF(D21&lt;&gt;0,C21/D21,0)</f>
        <v>0.09005861850931528</v>
      </c>
      <c r="G21" s="159"/>
      <c r="H21" s="54">
        <v>1.3751805869654952</v>
      </c>
      <c r="I21" s="72"/>
      <c r="J21" s="46">
        <f>C21*H21</f>
        <v>5426.021272117922</v>
      </c>
      <c r="K21" s="83">
        <f>F21*(H21)</f>
        <v>0.12384686386294179</v>
      </c>
      <c r="L21" s="84"/>
    </row>
    <row r="22" spans="1:12" ht="12.75" customHeight="1">
      <c r="A22" s="338" t="s">
        <v>136</v>
      </c>
      <c r="B22" s="135">
        <v>26.78094914998113</v>
      </c>
      <c r="C22" s="46">
        <v>1035.249665930927</v>
      </c>
      <c r="D22" s="135">
        <v>10407.73148343148</v>
      </c>
      <c r="E22" s="135"/>
      <c r="F22" s="83">
        <f>IF(D22&lt;&gt;0,C22/D22,0)</f>
        <v>0.09946929045767426</v>
      </c>
      <c r="G22" s="159"/>
      <c r="H22" s="54">
        <v>1.2686565014544036</v>
      </c>
      <c r="I22" s="72"/>
      <c r="J22" s="46">
        <f>C22*H22</f>
        <v>1313.3762193117698</v>
      </c>
      <c r="K22" s="83">
        <f>F22*(H22)</f>
        <v>0.1261923620341849</v>
      </c>
      <c r="L22" s="84"/>
    </row>
    <row r="23" spans="1:12" ht="12.75" customHeight="1">
      <c r="A23" s="337" t="s">
        <v>137</v>
      </c>
      <c r="B23" s="135">
        <v>14.072911866447756</v>
      </c>
      <c r="C23" s="46">
        <v>586.4745664251336</v>
      </c>
      <c r="D23" s="135">
        <v>5486.995365017048</v>
      </c>
      <c r="E23" s="135"/>
      <c r="F23" s="83">
        <f>IF(D23&lt;&gt;0,C23/D23,0)</f>
        <v>0.10688446543335314</v>
      </c>
      <c r="G23" s="159"/>
      <c r="H23" s="54">
        <v>1.4666301987498853</v>
      </c>
      <c r="I23" s="72"/>
      <c r="J23" s="46">
        <f>C23*H23</f>
        <v>860.1413099178466</v>
      </c>
      <c r="K23" s="83">
        <f>F23*(H23)</f>
        <v>0.15675998478179395</v>
      </c>
      <c r="L23" s="84"/>
    </row>
    <row r="24" spans="1:12" ht="12.75" customHeight="1">
      <c r="A24" s="337" t="s">
        <v>107</v>
      </c>
      <c r="B24" s="135">
        <v>0</v>
      </c>
      <c r="C24" s="46">
        <v>0</v>
      </c>
      <c r="D24" s="135">
        <v>0</v>
      </c>
      <c r="E24" s="135"/>
      <c r="F24" s="83">
        <f>IF(D24&lt;&gt;0,C24/D24,0)</f>
        <v>0</v>
      </c>
      <c r="G24" s="159"/>
      <c r="H24" s="54">
        <v>1.2686565014544036</v>
      </c>
      <c r="I24" s="72"/>
      <c r="J24" s="46">
        <f>C24*H24</f>
        <v>0</v>
      </c>
      <c r="K24" s="83">
        <f>F24*(H24)</f>
        <v>0</v>
      </c>
      <c r="L24" s="84"/>
    </row>
    <row r="25" spans="1:12" ht="12.75" customHeight="1">
      <c r="A25" s="337" t="s">
        <v>277</v>
      </c>
      <c r="B25" s="135">
        <f>SUM(B21:B24)</f>
        <v>157.98728725520365</v>
      </c>
      <c r="C25" s="46">
        <f>SUM(C21:C24)</f>
        <v>5567.403311560563</v>
      </c>
      <c r="D25" s="135">
        <f>SUM(D21:D24)</f>
        <v>59707.0697925764</v>
      </c>
      <c r="E25" s="135"/>
      <c r="F25" s="83">
        <f>IF(D25&lt;&gt;0,C25/D25,0)</f>
        <v>0.0932452945840725</v>
      </c>
      <c r="G25" s="159"/>
      <c r="H25" s="54"/>
      <c r="I25" s="72"/>
      <c r="J25" s="46">
        <f>SUM(J21:J24)</f>
        <v>7599.5388013475385</v>
      </c>
      <c r="K25" s="83">
        <f>SUMPRODUCT(K21:K24,D21:D24)/D25</f>
        <v>0.1272803845130651</v>
      </c>
      <c r="L25" s="84"/>
    </row>
    <row r="26" spans="1:12" ht="4.5" customHeight="1">
      <c r="A26" s="81"/>
      <c r="B26" s="135"/>
      <c r="C26" s="135"/>
      <c r="D26" s="135"/>
      <c r="E26" s="135"/>
      <c r="F26" s="83"/>
      <c r="G26" s="159"/>
      <c r="H26" s="54"/>
      <c r="I26" s="72"/>
      <c r="J26" s="46"/>
      <c r="K26" s="83"/>
      <c r="L26" s="84"/>
    </row>
    <row r="27" spans="1:12" ht="12.75" customHeight="1">
      <c r="A27" s="21" t="s">
        <v>276</v>
      </c>
      <c r="B27" s="135"/>
      <c r="C27" s="135"/>
      <c r="D27" s="135"/>
      <c r="E27" s="135"/>
      <c r="F27" s="83"/>
      <c r="G27" s="159"/>
      <c r="H27" s="54"/>
      <c r="I27" s="72"/>
      <c r="J27" s="46"/>
      <c r="K27" s="83"/>
      <c r="L27" s="84"/>
    </row>
    <row r="28" spans="1:12" ht="12.75" customHeight="1">
      <c r="A28" s="337" t="s">
        <v>135</v>
      </c>
      <c r="B28" s="135">
        <v>39.41529772602679</v>
      </c>
      <c r="C28" s="46">
        <v>1365.6681209022252</v>
      </c>
      <c r="D28" s="135">
        <v>28910.66423623834</v>
      </c>
      <c r="E28" s="135"/>
      <c r="F28" s="83">
        <f>IF(D28&lt;&gt;0,C28/D28,0)</f>
        <v>0.0472375214122689</v>
      </c>
      <c r="G28" s="159"/>
      <c r="H28" s="54">
        <v>1.3751805869654952</v>
      </c>
      <c r="I28" s="72"/>
      <c r="J28" s="46">
        <f>C28*H28</f>
        <v>1878.0402881023867</v>
      </c>
      <c r="K28" s="83">
        <f>F28*(H28)</f>
        <v>0.06496012242251908</v>
      </c>
      <c r="L28" s="84"/>
    </row>
    <row r="29" spans="1:12" ht="12.75" customHeight="1">
      <c r="A29" s="338" t="s">
        <v>136</v>
      </c>
      <c r="B29" s="135">
        <v>20.519014644063454</v>
      </c>
      <c r="C29" s="46">
        <v>431.05928388120503</v>
      </c>
      <c r="D29" s="135">
        <v>14816.847989113332</v>
      </c>
      <c r="E29" s="135"/>
      <c r="F29" s="83">
        <f>IF(D29&lt;&gt;0,C29/D29,0)</f>
        <v>0.02909250902742105</v>
      </c>
      <c r="G29" s="159"/>
      <c r="H29" s="54">
        <v>1.2686565014544036</v>
      </c>
      <c r="I29" s="72"/>
      <c r="J29" s="46">
        <f>C29*H29</f>
        <v>546.8661630081701</v>
      </c>
      <c r="K29" s="83">
        <f>F29*(H29)</f>
        <v>0.036908400721258644</v>
      </c>
      <c r="L29" s="84"/>
    </row>
    <row r="30" spans="1:12" ht="12.75" customHeight="1">
      <c r="A30" s="337" t="s">
        <v>137</v>
      </c>
      <c r="B30" s="135">
        <v>13.467297551891669</v>
      </c>
      <c r="C30" s="46">
        <v>727.9326274917998</v>
      </c>
      <c r="D30" s="135">
        <v>8696.937785106653</v>
      </c>
      <c r="E30" s="135"/>
      <c r="F30" s="83">
        <f>IF(D30&lt;&gt;0,C30/D30,0)</f>
        <v>0.08369987752911964</v>
      </c>
      <c r="G30" s="159"/>
      <c r="H30" s="54">
        <v>1.4666301987498853</v>
      </c>
      <c r="I30" s="72"/>
      <c r="J30" s="46">
        <f>C30*H30</f>
        <v>1067.6079741348246</v>
      </c>
      <c r="K30" s="83">
        <f>F30*(H30)</f>
        <v>0.1227567680158738</v>
      </c>
      <c r="L30" s="84"/>
    </row>
    <row r="31" spans="1:12" ht="12.75" customHeight="1">
      <c r="A31" s="337" t="s">
        <v>107</v>
      </c>
      <c r="B31" s="135">
        <v>0.15404028118389043</v>
      </c>
      <c r="C31" s="46">
        <v>5.578399338765291</v>
      </c>
      <c r="D31" s="135">
        <v>117.65944656035016</v>
      </c>
      <c r="E31" s="135"/>
      <c r="F31" s="83">
        <f>IF(D31&lt;&gt;0,C31/D31,0)</f>
        <v>0.04741140215974078</v>
      </c>
      <c r="G31" s="159"/>
      <c r="H31" s="54">
        <v>1.2686565014544036</v>
      </c>
      <c r="I31" s="72"/>
      <c r="J31" s="46">
        <f>C31*H31</f>
        <v>7.0770725888335315</v>
      </c>
      <c r="K31" s="83">
        <f>F31*(H31)</f>
        <v>0.060148783593024495</v>
      </c>
      <c r="L31" s="84"/>
    </row>
    <row r="32" spans="1:12" ht="12.75" customHeight="1">
      <c r="A32" s="337" t="s">
        <v>277</v>
      </c>
      <c r="B32" s="135">
        <f>SUM(B28:B31)</f>
        <v>73.55565020316581</v>
      </c>
      <c r="C32" s="46">
        <f>SUM(C28:C31)</f>
        <v>2530.2384316139955</v>
      </c>
      <c r="D32" s="135">
        <f>SUM(D28:D31)</f>
        <v>52542.109457018676</v>
      </c>
      <c r="E32" s="135"/>
      <c r="F32" s="83">
        <f>IF(D32&lt;&gt;0,C32/D32,0)</f>
        <v>0.048156392230194356</v>
      </c>
      <c r="G32" s="159"/>
      <c r="H32" s="54"/>
      <c r="I32" s="72"/>
      <c r="J32" s="46">
        <f>SUM(J28:J31)</f>
        <v>3499.5914978342157</v>
      </c>
      <c r="K32" s="83">
        <f>SUMPRODUCT(K28:K31,D28:D31)/D32</f>
        <v>0.0666054624376474</v>
      </c>
      <c r="L32" s="84"/>
    </row>
    <row r="33" spans="1:12" ht="4.5" customHeight="1">
      <c r="A33" s="81"/>
      <c r="B33" s="135"/>
      <c r="C33" s="46"/>
      <c r="D33" s="135"/>
      <c r="E33" s="135"/>
      <c r="F33" s="83"/>
      <c r="G33" s="159"/>
      <c r="H33" s="54"/>
      <c r="I33" s="72"/>
      <c r="J33" s="46"/>
      <c r="K33" s="83"/>
      <c r="L33" s="84"/>
    </row>
    <row r="34" spans="1:12" ht="12.75" customHeight="1">
      <c r="A34" s="89" t="s">
        <v>288</v>
      </c>
      <c r="B34" s="135"/>
      <c r="C34" s="46"/>
      <c r="D34" s="135"/>
      <c r="E34" s="135"/>
      <c r="F34" s="83"/>
      <c r="G34" s="159"/>
      <c r="H34" s="54"/>
      <c r="I34" s="72"/>
      <c r="J34" s="46"/>
      <c r="K34" s="83"/>
      <c r="L34" s="84"/>
    </row>
    <row r="35" spans="1:12" ht="12.75">
      <c r="A35" s="337" t="s">
        <v>135</v>
      </c>
      <c r="B35" s="135">
        <f aca="true" t="shared" si="0" ref="B35:D38">SUM(B7,B14,B21,B28)</f>
        <v>256.5025167041978</v>
      </c>
      <c r="C35" s="46">
        <f t="shared" si="0"/>
        <v>8827.668100844745</v>
      </c>
      <c r="D35" s="135">
        <f t="shared" si="0"/>
        <v>122309.8954624736</v>
      </c>
      <c r="E35" s="135"/>
      <c r="F35" s="83">
        <f>IF(D35&lt;&gt;0,C35/D35,0)</f>
        <v>0.07217460261466087</v>
      </c>
      <c r="G35" s="159"/>
      <c r="H35" s="54">
        <v>1.3751805869654952</v>
      </c>
      <c r="I35" s="72"/>
      <c r="J35" s="46">
        <f>SUM(J7,J14,J21,J28)</f>
        <v>12139.637800456254</v>
      </c>
      <c r="K35" s="83">
        <f>F35*(H35)</f>
        <v>0.0992531123876307</v>
      </c>
      <c r="L35" s="84"/>
    </row>
    <row r="36" spans="1:12" ht="12.75">
      <c r="A36" s="338" t="s">
        <v>136</v>
      </c>
      <c r="B36" s="135">
        <f t="shared" si="0"/>
        <v>70.58831598659683</v>
      </c>
      <c r="C36" s="46">
        <f t="shared" si="0"/>
        <v>2306.946887781366</v>
      </c>
      <c r="D36" s="135">
        <f t="shared" si="0"/>
        <v>36782.46855557911</v>
      </c>
      <c r="E36" s="135"/>
      <c r="F36" s="83">
        <f>IF(D36&lt;&gt;0,C36/D36,0)</f>
        <v>0.06271865316204972</v>
      </c>
      <c r="G36" s="159"/>
      <c r="H36" s="54">
        <v>1.2686565014544036</v>
      </c>
      <c r="I36" s="72"/>
      <c r="J36" s="46">
        <f>SUM(J8,J15,J22,J29)</f>
        <v>2926.7231676938322</v>
      </c>
      <c r="K36" s="83">
        <f>F36*(H36)</f>
        <v>0.07956842709649817</v>
      </c>
      <c r="L36" s="84"/>
    </row>
    <row r="37" spans="1:12" ht="12.75">
      <c r="A37" s="337" t="s">
        <v>137</v>
      </c>
      <c r="B37" s="135">
        <f t="shared" si="0"/>
        <v>57.93012836694759</v>
      </c>
      <c r="C37" s="46">
        <f t="shared" si="0"/>
        <v>2184.1528715836666</v>
      </c>
      <c r="D37" s="135">
        <f t="shared" si="0"/>
        <v>23975.163503340787</v>
      </c>
      <c r="E37" s="135"/>
      <c r="F37" s="83">
        <f>IF(D37&lt;&gt;0,C37/D37,0)</f>
        <v>0.0911006455192399</v>
      </c>
      <c r="G37" s="159"/>
      <c r="H37" s="54">
        <v>1.4666301987498853</v>
      </c>
      <c r="I37" s="72"/>
      <c r="J37" s="46">
        <f>SUM(J9,J16,J23,J30)</f>
        <v>3203.3445601508856</v>
      </c>
      <c r="K37" s="83">
        <f>F37*(H37)</f>
        <v>0.13361095784412566</v>
      </c>
      <c r="L37" s="84"/>
    </row>
    <row r="38" spans="1:12" ht="12.75">
      <c r="A38" s="337" t="s">
        <v>107</v>
      </c>
      <c r="B38" s="135">
        <f t="shared" si="0"/>
        <v>0.7175225936150827</v>
      </c>
      <c r="C38" s="46">
        <f t="shared" si="0"/>
        <v>25.98429145291725</v>
      </c>
      <c r="D38" s="135">
        <f t="shared" si="0"/>
        <v>609.6238895056522</v>
      </c>
      <c r="E38" s="135"/>
      <c r="F38" s="83">
        <f>IF(D38&lt;&gt;0,C38/D38,0)</f>
        <v>0.04262347965724912</v>
      </c>
      <c r="G38" s="159"/>
      <c r="H38" s="54">
        <v>1.2686565014544036</v>
      </c>
      <c r="I38" s="72"/>
      <c r="J38" s="46">
        <f>SUM(J10,J17,J24,J31)</f>
        <v>32.96514028742956</v>
      </c>
      <c r="K38" s="83">
        <f>F38*(H38)</f>
        <v>0.05407455458177861</v>
      </c>
      <c r="L38" s="84"/>
    </row>
    <row r="39" spans="1:12" ht="12.75">
      <c r="A39" s="338" t="s">
        <v>102</v>
      </c>
      <c r="B39" s="135">
        <f>SUM(B35:B38)</f>
        <v>385.7384836513573</v>
      </c>
      <c r="C39" s="46">
        <f>SUM(C35:C38)</f>
        <v>13344.752151662697</v>
      </c>
      <c r="D39" s="135">
        <f>SUM(D35:D38)</f>
        <v>183677.15141089915</v>
      </c>
      <c r="E39" s="135"/>
      <c r="F39" s="83"/>
      <c r="G39" s="159"/>
      <c r="H39" s="54"/>
      <c r="I39" s="72"/>
      <c r="J39" s="46">
        <f>SUM(J35:J38)</f>
        <v>18302.670668588402</v>
      </c>
      <c r="K39" s="83">
        <f>SUMPRODUCT(K35:K38,D35:D38)/D39</f>
        <v>0.09964587608201739</v>
      </c>
      <c r="L39" s="84"/>
    </row>
    <row r="40" spans="1:12" ht="4.5" customHeight="1">
      <c r="A40" s="81"/>
      <c r="B40" s="135"/>
      <c r="C40" s="46"/>
      <c r="D40" s="135"/>
      <c r="E40" s="135"/>
      <c r="F40" s="83"/>
      <c r="G40" s="159"/>
      <c r="H40" s="54"/>
      <c r="I40" s="72"/>
      <c r="J40" s="46"/>
      <c r="K40" s="83"/>
      <c r="L40" s="84"/>
    </row>
    <row r="41" spans="1:12" ht="12.75">
      <c r="A41" s="81"/>
      <c r="B41" s="135"/>
      <c r="C41" s="46"/>
      <c r="D41" s="135"/>
      <c r="E41" s="135"/>
      <c r="F41" s="83"/>
      <c r="G41" s="159"/>
      <c r="H41" s="54"/>
      <c r="I41" s="72"/>
      <c r="J41" s="46"/>
      <c r="K41" s="83"/>
      <c r="L41" s="84"/>
    </row>
    <row r="42" spans="1:12" ht="15.75">
      <c r="A42" s="158" t="s">
        <v>55</v>
      </c>
      <c r="L42" s="84"/>
    </row>
    <row r="43" spans="1:12" ht="15.75">
      <c r="A43" s="158" t="s">
        <v>787</v>
      </c>
      <c r="L43" s="84"/>
    </row>
    <row r="44" spans="1:12" ht="25.5">
      <c r="A44" s="4"/>
      <c r="B44" s="189" t="s">
        <v>248</v>
      </c>
      <c r="C44" s="146" t="s">
        <v>249</v>
      </c>
      <c r="D44" s="168" t="s">
        <v>250</v>
      </c>
      <c r="E44" s="168"/>
      <c r="F44" s="169" t="s">
        <v>207</v>
      </c>
      <c r="G44" s="159"/>
      <c r="H44" s="190" t="s">
        <v>246</v>
      </c>
      <c r="I44" s="159"/>
      <c r="J44" s="189" t="s">
        <v>110</v>
      </c>
      <c r="K44" s="41" t="s">
        <v>133</v>
      </c>
      <c r="L44" s="84"/>
    </row>
    <row r="45" spans="1:12" ht="12.75">
      <c r="A45" s="15" t="s">
        <v>385</v>
      </c>
      <c r="B45" s="135"/>
      <c r="C45" s="46"/>
      <c r="D45" s="135"/>
      <c r="E45" s="135"/>
      <c r="F45" s="83"/>
      <c r="G45" s="159"/>
      <c r="H45" s="54"/>
      <c r="I45" s="72"/>
      <c r="J45" s="46"/>
      <c r="K45" s="83"/>
      <c r="L45" s="84"/>
    </row>
    <row r="46" spans="1:12" ht="4.5" customHeight="1">
      <c r="A46" s="81"/>
      <c r="B46" s="135"/>
      <c r="C46" s="46"/>
      <c r="D46" s="135"/>
      <c r="E46" s="135"/>
      <c r="F46" s="83"/>
      <c r="G46" s="159"/>
      <c r="H46" s="54"/>
      <c r="I46" s="72"/>
      <c r="J46" s="46"/>
      <c r="K46" s="83"/>
      <c r="L46" s="84"/>
    </row>
    <row r="47" spans="1:12" ht="12.75">
      <c r="A47" s="89" t="s">
        <v>386</v>
      </c>
      <c r="B47" s="135"/>
      <c r="C47" s="46"/>
      <c r="D47" s="135"/>
      <c r="E47" s="135"/>
      <c r="F47" s="41"/>
      <c r="G47" s="159"/>
      <c r="H47" s="54"/>
      <c r="I47" s="72"/>
      <c r="J47" s="42"/>
      <c r="K47" s="41"/>
      <c r="L47" s="84"/>
    </row>
    <row r="48" spans="1:12" ht="12.75">
      <c r="A48" s="337" t="s">
        <v>135</v>
      </c>
      <c r="B48" s="135">
        <v>49.26814457849331</v>
      </c>
      <c r="C48" s="46">
        <v>1730.946462585637</v>
      </c>
      <c r="D48" s="135">
        <v>37180.818702976365</v>
      </c>
      <c r="E48" s="135"/>
      <c r="F48" s="83">
        <f>IF(D48&lt;&gt;0,C48/D48,0)</f>
        <v>0.04655482377656931</v>
      </c>
      <c r="G48" s="159"/>
      <c r="H48" s="54">
        <v>1.3751805869654952</v>
      </c>
      <c r="I48" s="72"/>
      <c r="J48" s="46">
        <f>C48*H48</f>
        <v>2380.3639724243635</v>
      </c>
      <c r="K48" s="83">
        <f>F48*(H48)</f>
        <v>0.06402128988713778</v>
      </c>
      <c r="L48" s="84"/>
    </row>
    <row r="49" spans="1:12" ht="12.75">
      <c r="A49" s="338" t="s">
        <v>136</v>
      </c>
      <c r="B49" s="135">
        <v>19.458812730466345</v>
      </c>
      <c r="C49" s="46">
        <v>772.4515199146091</v>
      </c>
      <c r="D49" s="135">
        <v>16156.56766357441</v>
      </c>
      <c r="E49" s="135"/>
      <c r="F49" s="83">
        <f>IF(D49&lt;&gt;0,C49/D49,0)</f>
        <v>0.04781037259888622</v>
      </c>
      <c r="G49" s="159"/>
      <c r="H49" s="54">
        <v>1.2686565014544036</v>
      </c>
      <c r="I49" s="72"/>
      <c r="J49" s="46">
        <f>C49*H49</f>
        <v>979.9756427980045</v>
      </c>
      <c r="K49" s="83">
        <f>F49*(H49)</f>
        <v>0.06065494003453448</v>
      </c>
      <c r="L49" s="84"/>
    </row>
    <row r="50" spans="1:12" ht="12.75">
      <c r="A50" s="337" t="s">
        <v>137</v>
      </c>
      <c r="B50" s="53">
        <v>8.242231155820564</v>
      </c>
      <c r="C50" s="46">
        <v>389.4193940905392</v>
      </c>
      <c r="D50" s="53">
        <v>6323.772218014101</v>
      </c>
      <c r="E50" s="135"/>
      <c r="F50" s="83">
        <f>IF(D50&lt;&gt;0,C50/D50,0)</f>
        <v>0.061580237343341775</v>
      </c>
      <c r="G50" s="159"/>
      <c r="H50" s="54">
        <v>1.4666301987498853</v>
      </c>
      <c r="I50" s="72"/>
      <c r="J50" s="46">
        <f>C50*H50</f>
        <v>571.1342433520674</v>
      </c>
      <c r="K50" s="83">
        <f>F50*(H50)</f>
        <v>0.09031543573393046</v>
      </c>
      <c r="L50" s="84"/>
    </row>
    <row r="51" spans="1:12" ht="12.75">
      <c r="A51" s="337" t="s">
        <v>107</v>
      </c>
      <c r="B51" s="53">
        <v>0.4656986822357128</v>
      </c>
      <c r="C51" s="46">
        <v>16.864765508615886</v>
      </c>
      <c r="D51" s="53">
        <v>407.55989887505825</v>
      </c>
      <c r="E51" s="135"/>
      <c r="F51" s="83">
        <f>IF(D51&lt;&gt;0,C51/D51,0)</f>
        <v>0.04137984515936382</v>
      </c>
      <c r="G51" s="159"/>
      <c r="H51" s="54">
        <v>1.2686565014544036</v>
      </c>
      <c r="I51" s="72"/>
      <c r="J51" s="46">
        <f>C51*H51</f>
        <v>21.395594408009526</v>
      </c>
      <c r="K51" s="83">
        <f>F51*(H51)</f>
        <v>0.05249680959060344</v>
      </c>
      <c r="L51" s="84"/>
    </row>
    <row r="52" spans="1:12" ht="12.75">
      <c r="A52" s="337" t="s">
        <v>277</v>
      </c>
      <c r="B52" s="53">
        <f>SUM(B48:B51)</f>
        <v>77.43488714701593</v>
      </c>
      <c r="C52" s="46">
        <f>SUM(C48:C51)</f>
        <v>2909.6821420994015</v>
      </c>
      <c r="D52" s="53">
        <f>SUM(D48:D51)</f>
        <v>60068.71848343993</v>
      </c>
      <c r="E52" s="135"/>
      <c r="F52" s="41"/>
      <c r="G52" s="159"/>
      <c r="H52" s="54"/>
      <c r="I52" s="72"/>
      <c r="J52" s="46">
        <f>SUM(J48:J51)</f>
        <v>3952.8694529824447</v>
      </c>
      <c r="K52" s="83">
        <f>SUMPRODUCT(K48:K51,D48:D51)/D52</f>
        <v>0.06580578964860377</v>
      </c>
      <c r="L52" s="84"/>
    </row>
    <row r="53" spans="1:12" ht="12.75">
      <c r="A53" s="21"/>
      <c r="B53" s="135"/>
      <c r="C53" s="135"/>
      <c r="D53" s="135"/>
      <c r="E53" s="135"/>
      <c r="F53" s="83"/>
      <c r="G53" s="159"/>
      <c r="H53" s="54"/>
      <c r="I53" s="72"/>
      <c r="J53" s="46"/>
      <c r="K53" s="83"/>
      <c r="L53" s="84"/>
    </row>
    <row r="54" spans="2:11" ht="4.5" customHeight="1">
      <c r="B54" s="57"/>
      <c r="C54" s="57"/>
      <c r="D54" s="57"/>
      <c r="E54" s="40"/>
      <c r="F54" s="41"/>
      <c r="G54" s="159"/>
      <c r="H54" s="54"/>
      <c r="I54" s="72"/>
      <c r="J54" s="42"/>
      <c r="K54" s="41"/>
    </row>
    <row r="55" spans="1:11" ht="12.75">
      <c r="A55" s="89" t="s">
        <v>387</v>
      </c>
      <c r="B55" s="57"/>
      <c r="C55" s="57"/>
      <c r="D55" s="57"/>
      <c r="E55" s="40"/>
      <c r="F55" s="41"/>
      <c r="G55" s="159"/>
      <c r="H55" s="54"/>
      <c r="I55" s="72"/>
      <c r="J55" s="42"/>
      <c r="K55" s="41"/>
    </row>
    <row r="56" spans="1:11" ht="12.75">
      <c r="A56" s="337" t="s">
        <v>135</v>
      </c>
      <c r="B56" s="135">
        <v>28.047323275141945</v>
      </c>
      <c r="C56" s="46">
        <v>1025.5114671653348</v>
      </c>
      <c r="D56" s="135">
        <v>22177.632901460114</v>
      </c>
      <c r="E56" s="135"/>
      <c r="F56" s="83">
        <f>IF(D56&lt;&gt;0,C56/D56,0)</f>
        <v>0.04624079908446036</v>
      </c>
      <c r="G56" s="159"/>
      <c r="H56" s="54">
        <v>1.3751805869654952</v>
      </c>
      <c r="I56" s="72"/>
      <c r="J56" s="46">
        <f>C56*H56</f>
        <v>1410.2634613562711</v>
      </c>
      <c r="K56" s="83">
        <f>F56*(H56)</f>
        <v>0.06358944922672173</v>
      </c>
    </row>
    <row r="57" spans="1:11" ht="12.75">
      <c r="A57" s="338" t="s">
        <v>136</v>
      </c>
      <c r="B57" s="135">
        <v>13.004593518636941</v>
      </c>
      <c r="C57" s="46">
        <v>489.1967436693692</v>
      </c>
      <c r="D57" s="135">
        <v>10174.415290161174</v>
      </c>
      <c r="E57" s="135"/>
      <c r="F57" s="83">
        <f>IF(D57&lt;&gt;0,C57/D57,0)</f>
        <v>0.04808106704101517</v>
      </c>
      <c r="G57" s="159"/>
      <c r="H57" s="54">
        <v>1.2686565014544036</v>
      </c>
      <c r="I57" s="72"/>
      <c r="J57" s="46">
        <f>C57*H57</f>
        <v>620.6226293464686</v>
      </c>
      <c r="K57" s="83">
        <f>F57*(H57)</f>
        <v>0.060998358298448935</v>
      </c>
    </row>
    <row r="58" spans="1:11" ht="12.75">
      <c r="A58" s="337" t="s">
        <v>137</v>
      </c>
      <c r="B58" s="53">
        <v>4.22770209548917</v>
      </c>
      <c r="C58" s="46">
        <v>136.85076414436293</v>
      </c>
      <c r="D58" s="53">
        <v>3524.5841103491057</v>
      </c>
      <c r="E58" s="135"/>
      <c r="F58" s="83">
        <f>IF(D58&lt;&gt;0,C58/D58,0)</f>
        <v>0.038827492793414436</v>
      </c>
      <c r="G58" s="159"/>
      <c r="H58" s="54">
        <v>1.4666301987498853</v>
      </c>
      <c r="I58" s="72"/>
      <c r="J58" s="46">
        <f>C58*H58</f>
        <v>200.70946341612068</v>
      </c>
      <c r="K58" s="83">
        <f>F58*(H58)</f>
        <v>0.05694557347256515</v>
      </c>
    </row>
    <row r="59" spans="1:11" ht="12.75">
      <c r="A59" s="337" t="s">
        <v>107</v>
      </c>
      <c r="B59" s="53">
        <v>0</v>
      </c>
      <c r="C59" s="46">
        <v>0</v>
      </c>
      <c r="D59" s="53">
        <v>0</v>
      </c>
      <c r="E59" s="135"/>
      <c r="F59" s="83">
        <f>IF(D59&lt;&gt;0,C59/D59,0)</f>
        <v>0</v>
      </c>
      <c r="G59" s="159"/>
      <c r="H59" s="54">
        <v>1.2686565014544036</v>
      </c>
      <c r="I59" s="72"/>
      <c r="J59" s="46">
        <f>C59*H59</f>
        <v>0</v>
      </c>
      <c r="K59" s="83">
        <f>F59*(H59)</f>
        <v>0</v>
      </c>
    </row>
    <row r="60" spans="1:11" ht="12.75">
      <c r="A60" s="337" t="s">
        <v>277</v>
      </c>
      <c r="B60" s="53">
        <f>SUM(B56:B59)</f>
        <v>45.27961888926806</v>
      </c>
      <c r="C60" s="46">
        <f>SUM(C56:C59)</f>
        <v>1651.558974979067</v>
      </c>
      <c r="D60" s="53">
        <f>SUM(D56:D59)</f>
        <v>35876.63230197039</v>
      </c>
      <c r="E60" s="135"/>
      <c r="F60" s="41"/>
      <c r="G60" s="159"/>
      <c r="H60" s="54"/>
      <c r="I60" s="72"/>
      <c r="J60" s="46">
        <f>SUM(J56:J59)</f>
        <v>2231.5955541188605</v>
      </c>
      <c r="K60" s="83">
        <f>SUMPRODUCT(K56:K59,D56:D59)/D60</f>
        <v>0.06220192395249702</v>
      </c>
    </row>
    <row r="61" spans="2:11" ht="4.5" customHeight="1">
      <c r="B61" s="135"/>
      <c r="C61" s="135"/>
      <c r="D61" s="135"/>
      <c r="E61" s="135"/>
      <c r="F61" s="41"/>
      <c r="G61" s="159"/>
      <c r="H61" s="54"/>
      <c r="I61" s="72"/>
      <c r="J61" s="42"/>
      <c r="K61" s="41"/>
    </row>
    <row r="62" spans="1:11" ht="12.75">
      <c r="A62" s="89" t="s">
        <v>388</v>
      </c>
      <c r="B62" s="11"/>
      <c r="C62" s="11"/>
      <c r="D62" s="11"/>
      <c r="E62" s="11"/>
      <c r="F62" s="11"/>
      <c r="G62" s="11"/>
      <c r="I62" s="11"/>
      <c r="J62" s="11"/>
      <c r="K62" s="11"/>
    </row>
    <row r="63" spans="1:11" ht="12.75">
      <c r="A63" s="337" t="s">
        <v>135</v>
      </c>
      <c r="B63" s="135">
        <v>40.501502204554555</v>
      </c>
      <c r="C63" s="46">
        <v>1514.9485165858323</v>
      </c>
      <c r="D63" s="135">
        <v>32884.21760518052</v>
      </c>
      <c r="E63" s="11"/>
      <c r="F63" s="83">
        <f>IF(D63&lt;&gt;0,C63/D63,0)</f>
        <v>0.04606916712371986</v>
      </c>
      <c r="G63" s="11"/>
      <c r="H63" s="54">
        <v>1.3751805869654952</v>
      </c>
      <c r="I63" s="11"/>
      <c r="J63" s="46">
        <f>C63*H63</f>
        <v>2083.327790261011</v>
      </c>
      <c r="K63" s="83">
        <f>F63*(H63)</f>
        <v>0.06335342428620858</v>
      </c>
    </row>
    <row r="64" spans="1:11" ht="12.75">
      <c r="A64" s="338" t="s">
        <v>136</v>
      </c>
      <c r="B64" s="135">
        <v>18.288237481704172</v>
      </c>
      <c r="C64" s="46">
        <v>753.5343759201768</v>
      </c>
      <c r="D64" s="135">
        <v>15819.58448769247</v>
      </c>
      <c r="E64" s="11"/>
      <c r="F64" s="83">
        <f>IF(D64&lt;&gt;0,C64/D64,0)</f>
        <v>0.04763300682811369</v>
      </c>
      <c r="G64" s="11"/>
      <c r="H64" s="54">
        <v>1.2686565014544036</v>
      </c>
      <c r="I64" s="11"/>
      <c r="J64" s="46">
        <f>C64*H64</f>
        <v>955.9762850805189</v>
      </c>
      <c r="K64" s="83">
        <f>F64*(H64)</f>
        <v>0.060429923796308425</v>
      </c>
    </row>
    <row r="65" spans="1:11" ht="12.75">
      <c r="A65" s="337" t="s">
        <v>137</v>
      </c>
      <c r="B65" s="53">
        <v>9.026688424319628</v>
      </c>
      <c r="C65" s="46">
        <v>670.718085361031</v>
      </c>
      <c r="D65" s="53">
        <v>5834.757998218473</v>
      </c>
      <c r="E65" s="11"/>
      <c r="F65" s="83">
        <f>IF(D65&lt;&gt;0,C65/D65,0)</f>
        <v>0.11495216863592651</v>
      </c>
      <c r="G65" s="11"/>
      <c r="H65" s="54">
        <v>1.4666301987498853</v>
      </c>
      <c r="I65" s="11"/>
      <c r="J65" s="46">
        <f>C65*H65</f>
        <v>983.6953988381914</v>
      </c>
      <c r="K65" s="83">
        <f>F65*(H65)</f>
        <v>0.16859232193323923</v>
      </c>
    </row>
    <row r="66" spans="1:11" ht="12.75">
      <c r="A66" s="337" t="s">
        <v>107</v>
      </c>
      <c r="B66" s="53">
        <v>0.41130379068725265</v>
      </c>
      <c r="C66" s="46">
        <v>14.8949143455691</v>
      </c>
      <c r="D66" s="53">
        <v>359.955777703014</v>
      </c>
      <c r="E66" s="11"/>
      <c r="F66" s="83">
        <f>IF(D66&lt;&gt;0,C66/D66,0)</f>
        <v>0.04137984515936381</v>
      </c>
      <c r="G66" s="11"/>
      <c r="H66" s="54">
        <v>1.2686565014544036</v>
      </c>
      <c r="I66" s="11"/>
      <c r="J66" s="46">
        <f>C66*H66</f>
        <v>18.896529923112702</v>
      </c>
      <c r="K66" s="83">
        <f>F66*(H66)</f>
        <v>0.05249680959060343</v>
      </c>
    </row>
    <row r="67" spans="1:11" ht="12.75">
      <c r="A67" s="337" t="s">
        <v>277</v>
      </c>
      <c r="B67" s="53">
        <f>SUM(B63:B66)</f>
        <v>68.22773190126561</v>
      </c>
      <c r="C67" s="46">
        <f>SUM(C63:C66)</f>
        <v>2954.095892212609</v>
      </c>
      <c r="D67" s="53">
        <f>SUM(D63:D66)</f>
        <v>54898.51586879448</v>
      </c>
      <c r="E67" s="11"/>
      <c r="F67" s="11"/>
      <c r="G67" s="11"/>
      <c r="I67" s="11"/>
      <c r="J67" s="46">
        <f>SUM(J63:J66)</f>
        <v>4041.896004102834</v>
      </c>
      <c r="K67" s="83">
        <f>SUMPRODUCT(K63:K66,D63:D66)/D67</f>
        <v>0.07362486836188473</v>
      </c>
    </row>
    <row r="68" spans="1:11" ht="4.5" customHeight="1">
      <c r="A68" s="21"/>
      <c r="B68" s="135"/>
      <c r="C68" s="46"/>
      <c r="D68" s="135"/>
      <c r="E68" s="135"/>
      <c r="F68" s="41"/>
      <c r="G68" s="159"/>
      <c r="H68" s="54"/>
      <c r="I68" s="72"/>
      <c r="J68" s="42"/>
      <c r="K68" s="41"/>
    </row>
    <row r="69" spans="1:11" ht="12.75" customHeight="1">
      <c r="A69" s="89" t="s">
        <v>389</v>
      </c>
      <c r="B69" s="135"/>
      <c r="C69" s="46"/>
      <c r="D69" s="135"/>
      <c r="E69" s="135"/>
      <c r="F69" s="83"/>
      <c r="G69" s="159"/>
      <c r="H69" s="54"/>
      <c r="I69" s="72"/>
      <c r="J69" s="46"/>
      <c r="K69" s="83"/>
    </row>
    <row r="70" spans="1:11" ht="12.75" customHeight="1">
      <c r="A70" s="337" t="s">
        <v>135</v>
      </c>
      <c r="B70" s="135">
        <f aca="true" t="shared" si="1" ref="B70:D73">SUM(B48,B56,B63)</f>
        <v>117.81697005818981</v>
      </c>
      <c r="C70" s="46">
        <f t="shared" si="1"/>
        <v>4271.406446336804</v>
      </c>
      <c r="D70" s="135">
        <f t="shared" si="1"/>
        <v>92242.669209617</v>
      </c>
      <c r="E70" s="135"/>
      <c r="F70" s="83">
        <f>IF(D70&lt;&gt;0,C70/D70,0)</f>
        <v>0.04630618869701439</v>
      </c>
      <c r="G70" s="159"/>
      <c r="H70" s="54">
        <v>1.3751805869654952</v>
      </c>
      <c r="I70" s="72"/>
      <c r="J70" s="46">
        <f>C70*H70</f>
        <v>5873.955224041646</v>
      </c>
      <c r="K70" s="83">
        <f>F70*(H70)</f>
        <v>0.06367937175249523</v>
      </c>
    </row>
    <row r="71" spans="1:11" ht="12.75" customHeight="1">
      <c r="A71" s="338" t="s">
        <v>136</v>
      </c>
      <c r="B71" s="135">
        <f t="shared" si="1"/>
        <v>50.75164373080746</v>
      </c>
      <c r="C71" s="46">
        <f t="shared" si="1"/>
        <v>2015.1826395041553</v>
      </c>
      <c r="D71" s="135">
        <f t="shared" si="1"/>
        <v>42150.56744142805</v>
      </c>
      <c r="E71" s="135"/>
      <c r="F71" s="83">
        <f>IF(D71&lt;&gt;0,C71/D71,0)</f>
        <v>0.04780914615928789</v>
      </c>
      <c r="G71" s="159"/>
      <c r="H71" s="54">
        <v>1.2686565014544036</v>
      </c>
      <c r="I71" s="72"/>
      <c r="J71" s="46">
        <f>C71*H71</f>
        <v>2556.574557224992</v>
      </c>
      <c r="K71" s="83">
        <f>F71*(H71)</f>
        <v>0.06065338410396441</v>
      </c>
    </row>
    <row r="72" spans="1:11" ht="12.75" customHeight="1">
      <c r="A72" s="337" t="s">
        <v>137</v>
      </c>
      <c r="B72" s="135">
        <f t="shared" si="1"/>
        <v>21.496621675629363</v>
      </c>
      <c r="C72" s="46">
        <f t="shared" si="1"/>
        <v>1196.988243595933</v>
      </c>
      <c r="D72" s="135">
        <f t="shared" si="1"/>
        <v>15683.114326581679</v>
      </c>
      <c r="E72" s="135"/>
      <c r="F72" s="83">
        <f>IF(D72&lt;&gt;0,C72/D72,0)</f>
        <v>0.07632337676497898</v>
      </c>
      <c r="G72" s="159"/>
      <c r="H72" s="54">
        <v>1.4666301987498853</v>
      </c>
      <c r="I72" s="72"/>
      <c r="J72" s="46">
        <f>C72*H72</f>
        <v>1755.5391056063793</v>
      </c>
      <c r="K72" s="83">
        <f>F72*(H72)</f>
        <v>0.1119381692340835</v>
      </c>
    </row>
    <row r="73" spans="1:11" ht="12.75" customHeight="1">
      <c r="A73" s="337" t="s">
        <v>107</v>
      </c>
      <c r="B73" s="135">
        <f t="shared" si="1"/>
        <v>0.8770024729229655</v>
      </c>
      <c r="C73" s="46">
        <f t="shared" si="1"/>
        <v>31.759679854184988</v>
      </c>
      <c r="D73" s="135">
        <f t="shared" si="1"/>
        <v>767.5156765780723</v>
      </c>
      <c r="E73" s="135"/>
      <c r="F73" s="83">
        <f>IF(D73&lt;&gt;0,C73/D73,0)</f>
        <v>0.04137984515936381</v>
      </c>
      <c r="G73" s="159"/>
      <c r="H73" s="54">
        <v>1.2686565014544036</v>
      </c>
      <c r="I73" s="72"/>
      <c r="J73" s="46">
        <f>C73*H73</f>
        <v>40.29212433112223</v>
      </c>
      <c r="K73" s="83">
        <f>F73*(H73)</f>
        <v>0.05249680959060343</v>
      </c>
    </row>
    <row r="74" spans="1:11" ht="12.75" customHeight="1">
      <c r="A74" s="337" t="s">
        <v>102</v>
      </c>
      <c r="B74" s="135">
        <f>SUM(B70:B73)</f>
        <v>190.94223793754958</v>
      </c>
      <c r="C74" s="46">
        <f>SUM(C70:C73)</f>
        <v>7515.337009291077</v>
      </c>
      <c r="D74" s="135">
        <f>SUM(D70:D73)</f>
        <v>150843.8666542048</v>
      </c>
      <c r="E74" s="135"/>
      <c r="F74" s="41"/>
      <c r="G74" s="159"/>
      <c r="H74" s="54"/>
      <c r="I74" s="72"/>
      <c r="J74" s="46">
        <f>SUM(J70:J73)</f>
        <v>10226.36101120414</v>
      </c>
      <c r="K74" s="83">
        <f>SUMPRODUCT(K70:K73,D70:D73)/D74</f>
        <v>0.0677943441654615</v>
      </c>
    </row>
    <row r="75" spans="1:11" ht="4.5" customHeight="1">
      <c r="A75" s="21"/>
      <c r="B75" s="135"/>
      <c r="C75" s="46"/>
      <c r="D75" s="135"/>
      <c r="E75" s="135"/>
      <c r="F75" s="41"/>
      <c r="G75" s="159"/>
      <c r="H75" s="54"/>
      <c r="I75" s="72"/>
      <c r="J75" s="42"/>
      <c r="K75" s="41"/>
    </row>
    <row r="76" spans="1:12" ht="12.75">
      <c r="A76" s="81"/>
      <c r="B76" s="135"/>
      <c r="C76" s="46"/>
      <c r="D76" s="135"/>
      <c r="E76" s="135"/>
      <c r="F76" s="83"/>
      <c r="G76" s="159"/>
      <c r="H76" s="54"/>
      <c r="I76" s="72"/>
      <c r="J76" s="46"/>
      <c r="K76" s="83"/>
      <c r="L76" s="84"/>
    </row>
    <row r="77" spans="1:11" ht="12.75">
      <c r="A77" s="15" t="s">
        <v>285</v>
      </c>
      <c r="B77" s="48"/>
      <c r="C77" s="42"/>
      <c r="D77" s="40"/>
      <c r="E77" s="40"/>
      <c r="F77" s="41"/>
      <c r="G77" s="159"/>
      <c r="H77" s="54"/>
      <c r="I77" s="72"/>
      <c r="J77" s="42"/>
      <c r="K77" s="41"/>
    </row>
    <row r="78" spans="1:13" ht="12.75">
      <c r="A78" s="337" t="s">
        <v>135</v>
      </c>
      <c r="B78" s="135">
        <v>545.8510327839401</v>
      </c>
      <c r="C78" s="46">
        <v>21671.789514895845</v>
      </c>
      <c r="D78" s="135">
        <v>653010.100615624</v>
      </c>
      <c r="E78" s="135"/>
      <c r="F78" s="83">
        <f>IF(D78&lt;&gt;0,C78/D78,0)</f>
        <v>0.03318752572810866</v>
      </c>
      <c r="G78" s="159"/>
      <c r="H78" s="54">
        <v>1.3751805869654952</v>
      </c>
      <c r="I78" s="72"/>
      <c r="J78" s="46">
        <f>C78*H78</f>
        <v>29802.624225687134</v>
      </c>
      <c r="K78" s="83">
        <f>F78*(H78)</f>
        <v>0.04563884111071294</v>
      </c>
      <c r="M78" s="63"/>
    </row>
    <row r="79" spans="1:13" ht="12.75">
      <c r="A79" s="338" t="s">
        <v>136</v>
      </c>
      <c r="B79" s="135">
        <v>161.29366448105725</v>
      </c>
      <c r="C79" s="46">
        <v>6167.862996776011</v>
      </c>
      <c r="D79" s="135">
        <v>190433.41612534918</v>
      </c>
      <c r="E79" s="135"/>
      <c r="F79" s="83">
        <f>IF(D79&lt;&gt;0,C79/D79,0)</f>
        <v>0.03238855407979518</v>
      </c>
      <c r="G79" s="159"/>
      <c r="H79" s="54">
        <v>1.2686565014544036</v>
      </c>
      <c r="I79" s="72"/>
      <c r="J79" s="46">
        <f>C79*H79</f>
        <v>7824.899490939927</v>
      </c>
      <c r="K79" s="83">
        <f>F79*(H79)</f>
        <v>0.0410899497060397</v>
      </c>
      <c r="M79" s="63"/>
    </row>
    <row r="80" spans="1:13" ht="12.75">
      <c r="A80" s="337" t="s">
        <v>137</v>
      </c>
      <c r="B80" s="135">
        <v>62.99260105540355</v>
      </c>
      <c r="C80" s="46">
        <v>2547.2066118369307</v>
      </c>
      <c r="D80" s="135">
        <v>68994.041546028</v>
      </c>
      <c r="E80" s="135"/>
      <c r="F80" s="83">
        <f>IF(D80&lt;&gt;0,C80/D80,0)</f>
        <v>0.03691922599051706</v>
      </c>
      <c r="G80" s="159"/>
      <c r="H80" s="54">
        <v>1.4666301987498853</v>
      </c>
      <c r="I80" s="72"/>
      <c r="J80" s="46">
        <f>C80*H80</f>
        <v>3735.8101393754196</v>
      </c>
      <c r="K80" s="83">
        <f>F80*(H80)</f>
        <v>0.054146851752163966</v>
      </c>
      <c r="M80" s="63"/>
    </row>
    <row r="81" spans="1:13" ht="12.75">
      <c r="A81" s="337" t="s">
        <v>107</v>
      </c>
      <c r="B81" s="135">
        <v>6.8946017296916535</v>
      </c>
      <c r="C81" s="46">
        <v>249.6804175788806</v>
      </c>
      <c r="D81" s="135">
        <v>5396.064999719332</v>
      </c>
      <c r="E81" s="135"/>
      <c r="F81" s="83">
        <f>IF(D81&lt;&gt;0,C81/D81,0)</f>
        <v>0.04627083209558582</v>
      </c>
      <c r="G81" s="159"/>
      <c r="H81" s="54">
        <v>1.2686565014544036</v>
      </c>
      <c r="I81" s="72"/>
      <c r="J81" s="46">
        <f>C81*H81</f>
        <v>316.7586850472972</v>
      </c>
      <c r="K81" s="83">
        <f>F81*(H81)</f>
        <v>0.05870179196577004</v>
      </c>
      <c r="M81" s="63"/>
    </row>
    <row r="82" spans="1:13" ht="12.75">
      <c r="A82" s="337" t="s">
        <v>102</v>
      </c>
      <c r="B82" s="135">
        <f>SUM(B78:B81)</f>
        <v>777.0319000500925</v>
      </c>
      <c r="C82" s="46">
        <f>SUM(C78:C81)</f>
        <v>30636.539541087666</v>
      </c>
      <c r="D82" s="135">
        <f>SUM(D78:D81)</f>
        <v>917833.6232867205</v>
      </c>
      <c r="E82" s="135"/>
      <c r="F82" s="83">
        <f>IF(D82&lt;&gt;0,C82/D82,0)</f>
        <v>0.03337918634030818</v>
      </c>
      <c r="G82" s="159"/>
      <c r="H82" s="54"/>
      <c r="I82" s="72"/>
      <c r="J82" s="46">
        <f>SUM(J78:J81)</f>
        <v>41680.09254104977</v>
      </c>
      <c r="K82" s="83">
        <f>SUMPRODUCT(K78:K81,D78:D81)/D82</f>
        <v>0.045411381195423255</v>
      </c>
      <c r="M82" s="63"/>
    </row>
    <row r="83" spans="2:11" ht="4.5" customHeight="1">
      <c r="B83" s="57"/>
      <c r="C83" s="46"/>
      <c r="D83" s="44"/>
      <c r="E83" s="44"/>
      <c r="F83" s="45"/>
      <c r="G83" s="23"/>
      <c r="H83" s="55"/>
      <c r="I83" s="79"/>
      <c r="J83" s="46"/>
      <c r="K83" s="41"/>
    </row>
    <row r="84" ht="12.75" customHeight="1"/>
    <row r="85" ht="15.75">
      <c r="A85" s="158" t="s">
        <v>56</v>
      </c>
    </row>
    <row r="86" ht="15.75">
      <c r="A86" s="158" t="s">
        <v>787</v>
      </c>
    </row>
    <row r="87" spans="1:11" ht="25.5">
      <c r="A87" s="4"/>
      <c r="B87" s="189" t="s">
        <v>223</v>
      </c>
      <c r="C87" s="146" t="s">
        <v>217</v>
      </c>
      <c r="D87" s="168" t="s">
        <v>222</v>
      </c>
      <c r="E87" s="168"/>
      <c r="F87" s="169" t="s">
        <v>207</v>
      </c>
      <c r="G87" s="159"/>
      <c r="H87" s="190" t="s">
        <v>246</v>
      </c>
      <c r="I87" s="159"/>
      <c r="J87" s="189" t="s">
        <v>110</v>
      </c>
      <c r="K87" s="41" t="s">
        <v>133</v>
      </c>
    </row>
    <row r="88" spans="1:14" ht="12.75">
      <c r="A88" s="25" t="s">
        <v>390</v>
      </c>
      <c r="B88" s="57"/>
      <c r="C88" s="46"/>
      <c r="D88" s="44"/>
      <c r="E88" s="44"/>
      <c r="F88" s="45"/>
      <c r="G88" s="23"/>
      <c r="H88" s="55"/>
      <c r="I88" s="79"/>
      <c r="J88" s="46"/>
      <c r="K88" s="41"/>
      <c r="N88" s="63"/>
    </row>
    <row r="89" spans="1:14" ht="12.75">
      <c r="A89" s="21" t="s">
        <v>186</v>
      </c>
      <c r="B89" s="57"/>
      <c r="C89" s="46"/>
      <c r="D89" s="44"/>
      <c r="E89" s="44"/>
      <c r="F89" s="45"/>
      <c r="G89" s="23"/>
      <c r="H89" s="55"/>
      <c r="I89" s="79"/>
      <c r="J89" s="46"/>
      <c r="K89" s="41"/>
      <c r="N89" s="63"/>
    </row>
    <row r="90" spans="1:20" ht="12.75">
      <c r="A90" s="81" t="s">
        <v>138</v>
      </c>
      <c r="B90" s="56" t="s">
        <v>106</v>
      </c>
      <c r="C90" s="46">
        <f>'Table 3.14-Route UAA'!C90*SUM($D$103,$D$109)/SUM($D$103,$D$109,'Table 3.16-Route UAA PARS'!$D$103,'Table 3.16-Route UAA PARS'!$D$109)</f>
        <v>476.5539372836372</v>
      </c>
      <c r="D90" s="40">
        <f>'Table 3.14-Route UAA'!D90*SUM($D$103,$D$109)/SUM($D$103,$D$109,'Table 3.16-Route UAA PARS'!$D$103,'Table 3.16-Route UAA PARS'!$D$109)</f>
        <v>10385.720700746626</v>
      </c>
      <c r="E90" s="184" t="s">
        <v>239</v>
      </c>
      <c r="F90" s="83">
        <f>IF(D90&lt;&gt;0,C90/D90,0)</f>
        <v>0.04588549519239218</v>
      </c>
      <c r="G90" s="285" t="s">
        <v>240</v>
      </c>
      <c r="H90" s="54">
        <v>1.359485895130023</v>
      </c>
      <c r="I90" s="72"/>
      <c r="J90" s="46">
        <f>C90*H90</f>
        <v>647.8683560057824</v>
      </c>
      <c r="K90" s="83">
        <f>F90*(H90)</f>
        <v>0.062380683505113645</v>
      </c>
      <c r="P90" s="140"/>
      <c r="Q90" s="140"/>
      <c r="R90" s="140"/>
      <c r="S90" s="140"/>
      <c r="T90" s="140"/>
    </row>
    <row r="91" spans="1:13" ht="12.75">
      <c r="A91" s="81" t="s">
        <v>781</v>
      </c>
      <c r="B91" s="56" t="s">
        <v>106</v>
      </c>
      <c r="C91" s="46">
        <f>'Table 3.14-Route UAA'!C91*SUM($D$103,$D$109)/SUM($D$103,$D$109,'Table 3.16-Route UAA PARS'!$D$103,'Table 3.16-Route UAA PARS'!$D$109)</f>
        <v>1104.9891156580998</v>
      </c>
      <c r="D91" s="40">
        <f>'Table 3.14-Route UAA'!D91*SUM($D$103,$D$109)/SUM($D$103,$D$109,'Table 3.16-Route UAA PARS'!$D$103,'Table 3.16-Route UAA PARS'!$D$109)</f>
        <v>10385.720700746626</v>
      </c>
      <c r="E91" s="184" t="s">
        <v>239</v>
      </c>
      <c r="F91" s="83">
        <f>IF(D91&lt;&gt;0,C91/D91,0)</f>
        <v>0.10639503482687171</v>
      </c>
      <c r="G91" s="285" t="s">
        <v>240</v>
      </c>
      <c r="H91" s="340">
        <v>1.5595101237373266</v>
      </c>
      <c r="I91" s="72"/>
      <c r="J91" s="46">
        <f>C91*H91</f>
        <v>1723.2417124883623</v>
      </c>
      <c r="K91" s="83">
        <f>F91*(H91)</f>
        <v>0.16592413392789188</v>
      </c>
      <c r="L91" s="64"/>
      <c r="M91" s="442"/>
    </row>
    <row r="92" spans="1:11" ht="12.75">
      <c r="A92" s="21" t="s">
        <v>187</v>
      </c>
      <c r="B92" s="56"/>
      <c r="C92" s="46"/>
      <c r="D92" s="40"/>
      <c r="E92" s="40"/>
      <c r="F92" s="41"/>
      <c r="G92" s="159"/>
      <c r="H92" s="54"/>
      <c r="I92" s="72"/>
      <c r="J92" s="42"/>
      <c r="K92" s="41"/>
    </row>
    <row r="93" spans="1:11" ht="12.75">
      <c r="A93" s="81" t="s">
        <v>138</v>
      </c>
      <c r="B93" s="56" t="s">
        <v>106</v>
      </c>
      <c r="C93" s="46">
        <f>'Table 3.14-Route UAA'!C93*$D$111/SUM($D$111,'Table 3.16-Route UAA PARS'!$D$111)</f>
        <v>91.86047623850602</v>
      </c>
      <c r="D93" s="40">
        <f>'Table 3.14-Route UAA'!D93*$D$111/SUM($D$111,'Table 3.16-Route UAA PARS'!$D$111)</f>
        <v>1998.3529494920856</v>
      </c>
      <c r="E93" s="184" t="s">
        <v>239</v>
      </c>
      <c r="F93" s="83">
        <f>IF(D93&lt;&gt;0,C93/D93,0)</f>
        <v>0.04596809400554285</v>
      </c>
      <c r="G93" s="285" t="s">
        <v>240</v>
      </c>
      <c r="H93" s="54">
        <v>1.359485895130023</v>
      </c>
      <c r="I93" s="72"/>
      <c r="J93" s="46">
        <f>C93*H93</f>
        <v>124.88302176617557</v>
      </c>
      <c r="K93" s="83">
        <f>F93*(H93)</f>
        <v>0.06249297542654647</v>
      </c>
    </row>
    <row r="94" spans="1:13" ht="12.75">
      <c r="A94" s="81" t="s">
        <v>781</v>
      </c>
      <c r="B94" s="56" t="s">
        <v>106</v>
      </c>
      <c r="C94" s="46">
        <f>'Table 3.14-Route UAA'!C94*$D$111/SUM($D$111,'Table 3.16-Route UAA PARS'!$D$111)</f>
        <v>221.37961896131216</v>
      </c>
      <c r="D94" s="40">
        <f>'Table 3.14-Route UAA'!D94*$D$111/SUM($D$111,'Table 3.16-Route UAA PARS'!$D$111)</f>
        <v>1998.3529494920856</v>
      </c>
      <c r="E94" s="184" t="s">
        <v>239</v>
      </c>
      <c r="F94" s="83">
        <f>IF(D94&lt;&gt;0,C94/D94,0)</f>
        <v>0.11078104046513877</v>
      </c>
      <c r="G94" s="285" t="s">
        <v>240</v>
      </c>
      <c r="H94" s="340">
        <v>1.5595101237373266</v>
      </c>
      <c r="I94" s="79"/>
      <c r="J94" s="46">
        <f>C94*H94</f>
        <v>345.24375695927813</v>
      </c>
      <c r="K94" s="83">
        <f>F94*(H94)</f>
        <v>0.17276415412353835</v>
      </c>
      <c r="L94" s="64"/>
      <c r="M94" s="442"/>
    </row>
    <row r="95" spans="1:11" ht="12.75">
      <c r="A95" s="81"/>
      <c r="B95" s="57"/>
      <c r="C95" s="46"/>
      <c r="D95" s="44"/>
      <c r="E95" s="44"/>
      <c r="F95" s="45"/>
      <c r="G95" s="23"/>
      <c r="H95" s="55"/>
      <c r="I95" s="79"/>
      <c r="J95" s="46"/>
      <c r="K95" s="41"/>
    </row>
    <row r="96" spans="1:11" ht="12.75">
      <c r="A96" s="25" t="s">
        <v>391</v>
      </c>
      <c r="B96" s="57"/>
      <c r="C96" s="46"/>
      <c r="D96" s="44"/>
      <c r="E96" s="44"/>
      <c r="F96" s="45"/>
      <c r="G96" s="23"/>
      <c r="H96" s="55"/>
      <c r="I96" s="79"/>
      <c r="J96" s="46"/>
      <c r="K96" s="41"/>
    </row>
    <row r="97" spans="1:11" ht="4.5" customHeight="1">
      <c r="A97" s="25"/>
      <c r="B97" s="57"/>
      <c r="C97" s="46"/>
      <c r="D97" s="44"/>
      <c r="E97" s="44"/>
      <c r="F97" s="45"/>
      <c r="G97" s="23"/>
      <c r="H97" s="55"/>
      <c r="I97" s="79"/>
      <c r="J97" s="46"/>
      <c r="K97" s="41"/>
    </row>
    <row r="98" spans="1:12" ht="12.75">
      <c r="A98" s="82" t="s">
        <v>284</v>
      </c>
      <c r="B98" s="57"/>
      <c r="C98" s="46"/>
      <c r="D98" s="44"/>
      <c r="E98" s="44"/>
      <c r="F98" s="45"/>
      <c r="G98" s="23"/>
      <c r="H98" s="55"/>
      <c r="I98" s="79"/>
      <c r="J98" s="46"/>
      <c r="K98" s="41"/>
      <c r="L98" s="47"/>
    </row>
    <row r="99" spans="1:11" ht="12.75">
      <c r="A99" s="338" t="s">
        <v>280</v>
      </c>
      <c r="B99" s="56" t="s">
        <v>106</v>
      </c>
      <c r="C99" s="46" t="s">
        <v>106</v>
      </c>
      <c r="D99" s="40">
        <f>D11</f>
        <v>67143.70473121344</v>
      </c>
      <c r="E99" s="40"/>
      <c r="F99" s="56" t="s">
        <v>106</v>
      </c>
      <c r="G99" s="159"/>
      <c r="H99" s="56" t="s">
        <v>106</v>
      </c>
      <c r="I99" s="72"/>
      <c r="J99" s="46">
        <f>J11+SUM($J$90:$J$91)*D99/SUM($D$103,$D$109)</f>
        <v>7312.277279208846</v>
      </c>
      <c r="K99" s="83">
        <f>J99/D99</f>
        <v>0.10890488257210434</v>
      </c>
    </row>
    <row r="100" spans="1:11" ht="12.75">
      <c r="A100" s="338" t="s">
        <v>287</v>
      </c>
      <c r="B100" s="56" t="s">
        <v>106</v>
      </c>
      <c r="C100" s="46" t="s">
        <v>106</v>
      </c>
      <c r="D100" s="40">
        <f>D18</f>
        <v>4284.267430090634</v>
      </c>
      <c r="E100" s="40"/>
      <c r="F100" s="56" t="s">
        <v>106</v>
      </c>
      <c r="G100" s="159"/>
      <c r="H100" s="56" t="s">
        <v>106</v>
      </c>
      <c r="I100" s="72"/>
      <c r="J100" s="46">
        <f>J18+SUM($J$90:$J$91)*D100/SUM($D$103,$D$109)</f>
        <v>397.549914695109</v>
      </c>
      <c r="K100" s="83">
        <f>J100/D100</f>
        <v>0.09279297363719866</v>
      </c>
    </row>
    <row r="101" spans="1:11" ht="12.75">
      <c r="A101" s="338" t="s">
        <v>282</v>
      </c>
      <c r="B101" s="56" t="s">
        <v>106</v>
      </c>
      <c r="C101" s="46" t="s">
        <v>106</v>
      </c>
      <c r="D101" s="40">
        <f>D25</f>
        <v>59707.0697925764</v>
      </c>
      <c r="E101" s="40"/>
      <c r="F101" s="56" t="s">
        <v>106</v>
      </c>
      <c r="G101" s="159"/>
      <c r="H101" s="56" t="s">
        <v>106</v>
      </c>
      <c r="I101" s="72"/>
      <c r="J101" s="46">
        <f>J25+SUM($J$90:$J$91)*D101/SUM($D$103,$D$109)</f>
        <v>8022.746990669466</v>
      </c>
      <c r="K101" s="83">
        <f>J101/D101</f>
        <v>0.13436845952314616</v>
      </c>
    </row>
    <row r="102" spans="1:11" ht="12.75">
      <c r="A102" s="338" t="s">
        <v>276</v>
      </c>
      <c r="B102" s="56" t="s">
        <v>106</v>
      </c>
      <c r="C102" s="46" t="s">
        <v>106</v>
      </c>
      <c r="D102" s="40">
        <f>D32</f>
        <v>52542.109457018676</v>
      </c>
      <c r="E102" s="40"/>
      <c r="F102" s="56" t="s">
        <v>106</v>
      </c>
      <c r="G102" s="159"/>
      <c r="H102" s="56" t="s">
        <v>106</v>
      </c>
      <c r="I102" s="72"/>
      <c r="J102" s="46">
        <f>J32+SUM($J$90:$J$91)*D102/SUM($D$103,$D$109)</f>
        <v>3872.0139108534545</v>
      </c>
      <c r="K102" s="83">
        <f>J102/D102</f>
        <v>0.07369353744772848</v>
      </c>
    </row>
    <row r="103" spans="1:11" ht="12.75">
      <c r="A103" s="338" t="s">
        <v>281</v>
      </c>
      <c r="B103" s="56"/>
      <c r="C103" s="46"/>
      <c r="D103" s="40">
        <f>SUM(D99:D102)</f>
        <v>183677.15141089915</v>
      </c>
      <c r="E103" s="40"/>
      <c r="F103" s="56"/>
      <c r="G103" s="159"/>
      <c r="H103" s="56"/>
      <c r="I103" s="72"/>
      <c r="J103" s="46">
        <f>SUM(J99:J102)</f>
        <v>19604.588095426876</v>
      </c>
      <c r="K103" s="83">
        <f>J103/D103</f>
        <v>0.10673395109209848</v>
      </c>
    </row>
    <row r="104" spans="1:11" ht="4.5" customHeight="1">
      <c r="A104" s="21"/>
      <c r="B104" s="56"/>
      <c r="C104" s="46"/>
      <c r="D104" s="40"/>
      <c r="E104" s="40"/>
      <c r="F104" s="56"/>
      <c r="G104" s="159"/>
      <c r="H104" s="56"/>
      <c r="I104" s="72"/>
      <c r="J104" s="46"/>
      <c r="K104" s="83"/>
    </row>
    <row r="105" ht="12.75">
      <c r="A105" s="82" t="s">
        <v>392</v>
      </c>
    </row>
    <row r="106" spans="1:11" ht="12.75">
      <c r="A106" s="338" t="s">
        <v>386</v>
      </c>
      <c r="B106" s="56" t="s">
        <v>106</v>
      </c>
      <c r="C106" s="46" t="s">
        <v>106</v>
      </c>
      <c r="D106" s="40">
        <f>D52</f>
        <v>60068.71848343993</v>
      </c>
      <c r="E106" s="40"/>
      <c r="F106" s="56" t="s">
        <v>106</v>
      </c>
      <c r="G106" s="159"/>
      <c r="H106" s="56" t="s">
        <v>106</v>
      </c>
      <c r="I106" s="72"/>
      <c r="J106" s="46">
        <f>J52+SUM($J$90:$J$91)*D106/SUM($D$103,$D$109)</f>
        <v>4378.641035352511</v>
      </c>
      <c r="K106" s="83">
        <f>J106/D106</f>
        <v>0.07289386465868485</v>
      </c>
    </row>
    <row r="107" spans="1:11" ht="12.75">
      <c r="A107" s="338" t="s">
        <v>393</v>
      </c>
      <c r="B107" s="56" t="s">
        <v>106</v>
      </c>
      <c r="C107" s="46" t="s">
        <v>106</v>
      </c>
      <c r="D107" s="40">
        <f>D60</f>
        <v>35876.63230197039</v>
      </c>
      <c r="E107" s="40"/>
      <c r="F107" s="56" t="s">
        <v>106</v>
      </c>
      <c r="G107" s="159"/>
      <c r="H107" s="56" t="s">
        <v>106</v>
      </c>
      <c r="I107" s="72"/>
      <c r="J107" s="46">
        <f>J60+SUM($J$90:$J$91)*D107/SUM($D$103,$D$109)</f>
        <v>2485.8918149843244</v>
      </c>
      <c r="K107" s="83">
        <f>J107/D107</f>
        <v>0.06928999896257809</v>
      </c>
    </row>
    <row r="108" spans="1:11" ht="12.75">
      <c r="A108" s="338" t="s">
        <v>388</v>
      </c>
      <c r="B108" s="56" t="s">
        <v>106</v>
      </c>
      <c r="C108" s="46" t="s">
        <v>106</v>
      </c>
      <c r="D108" s="40">
        <f>D67</f>
        <v>54898.51586879448</v>
      </c>
      <c r="E108" s="40"/>
      <c r="F108" s="56" t="s">
        <v>106</v>
      </c>
      <c r="G108" s="159"/>
      <c r="H108" s="56" t="s">
        <v>106</v>
      </c>
      <c r="I108" s="72"/>
      <c r="J108" s="46">
        <f>J67+SUM($J$90:$J$91)*D108/SUM($D$103,$D$109)</f>
        <v>4431.020802522976</v>
      </c>
      <c r="K108" s="83">
        <f>J108/D108</f>
        <v>0.08071294337196583</v>
      </c>
    </row>
    <row r="109" spans="1:11" ht="12.75">
      <c r="A109" s="338" t="s">
        <v>394</v>
      </c>
      <c r="B109" s="56"/>
      <c r="C109" s="46"/>
      <c r="D109" s="40">
        <f>SUM(D106:D108)</f>
        <v>150843.8666542048</v>
      </c>
      <c r="E109" s="40"/>
      <c r="F109" s="56"/>
      <c r="G109" s="159"/>
      <c r="H109" s="56"/>
      <c r="I109" s="72"/>
      <c r="J109" s="46">
        <f>SUM(J106:J108)</f>
        <v>11295.55365285981</v>
      </c>
      <c r="K109" s="83">
        <f>J109/D109</f>
        <v>0.07488241917554256</v>
      </c>
    </row>
    <row r="110" spans="1:11" ht="4.5" customHeight="1">
      <c r="A110" s="21"/>
      <c r="B110" s="56"/>
      <c r="C110" s="46"/>
      <c r="D110" s="40"/>
      <c r="E110" s="40"/>
      <c r="F110" s="56"/>
      <c r="G110" s="159"/>
      <c r="H110" s="56"/>
      <c r="I110" s="72"/>
      <c r="J110" s="46"/>
      <c r="K110" s="83"/>
    </row>
    <row r="111" spans="1:11" ht="12.75">
      <c r="A111" s="82" t="s">
        <v>286</v>
      </c>
      <c r="B111" s="56" t="s">
        <v>106</v>
      </c>
      <c r="C111" s="46" t="s">
        <v>106</v>
      </c>
      <c r="D111" s="40">
        <f>D82</f>
        <v>917833.6232867205</v>
      </c>
      <c r="E111" s="40"/>
      <c r="F111" s="56"/>
      <c r="G111" s="159"/>
      <c r="H111" s="56"/>
      <c r="I111" s="72"/>
      <c r="J111" s="46">
        <f>SUM(J93:J94)+J82</f>
        <v>42150.21931977523</v>
      </c>
      <c r="K111" s="83">
        <f>J111/D111</f>
        <v>0.04592359470209558</v>
      </c>
    </row>
    <row r="112" spans="1:11" ht="12.75" hidden="1">
      <c r="A112" s="341"/>
      <c r="B112" s="56"/>
      <c r="C112" s="46"/>
      <c r="D112" s="40"/>
      <c r="E112" s="40"/>
      <c r="F112" s="56"/>
      <c r="G112" s="159"/>
      <c r="H112" s="56"/>
      <c r="I112" s="72"/>
      <c r="J112" s="46"/>
      <c r="K112" s="83"/>
    </row>
    <row r="113" spans="2:11" ht="12.75" hidden="1">
      <c r="B113" s="69"/>
      <c r="C113" s="70"/>
      <c r="D113" s="37"/>
      <c r="E113" s="37"/>
      <c r="F113" s="38"/>
      <c r="G113" s="2"/>
      <c r="H113" s="4"/>
      <c r="I113" s="2"/>
      <c r="J113" s="2"/>
      <c r="K113" s="71"/>
    </row>
    <row r="114" spans="1:10" ht="12.75" hidden="1">
      <c r="A114" s="127" t="s">
        <v>191</v>
      </c>
      <c r="B114" s="339">
        <v>0</v>
      </c>
      <c r="C114" s="339">
        <v>0</v>
      </c>
      <c r="D114" s="339">
        <v>0</v>
      </c>
      <c r="E114" s="128"/>
      <c r="H114" s="126"/>
      <c r="I114" s="127"/>
      <c r="J114" s="339">
        <f>SUM(J103,J109)-J39-J74-SUM(J90:J91)</f>
        <v>0</v>
      </c>
    </row>
    <row r="115" spans="1:10" ht="12.75" hidden="1">
      <c r="A115" s="127"/>
      <c r="B115" s="339">
        <v>0</v>
      </c>
      <c r="C115" s="339">
        <v>0</v>
      </c>
      <c r="D115" s="339">
        <v>0</v>
      </c>
      <c r="E115" s="128"/>
      <c r="H115" s="126"/>
      <c r="I115" s="127"/>
      <c r="J115" s="339">
        <f>J111-J82-J93-J94</f>
        <v>9.094947017729282E-13</v>
      </c>
    </row>
    <row r="116" spans="2:10" ht="12.75" hidden="1">
      <c r="B116" s="339">
        <v>0</v>
      </c>
      <c r="C116" s="339">
        <v>0</v>
      </c>
      <c r="D116" s="339">
        <v>0</v>
      </c>
      <c r="H116" s="127"/>
      <c r="I116" s="127"/>
      <c r="J116" s="339">
        <v>0</v>
      </c>
    </row>
    <row r="117" spans="2:10" ht="12.75" hidden="1">
      <c r="B117" s="339">
        <v>0</v>
      </c>
      <c r="C117" s="339">
        <v>0</v>
      </c>
      <c r="D117" s="339">
        <v>0</v>
      </c>
      <c r="H117" s="342"/>
      <c r="I117" s="342"/>
      <c r="J117" s="339">
        <v>0</v>
      </c>
    </row>
    <row r="118" spans="2:10" ht="12.75" hidden="1">
      <c r="B118" s="339"/>
      <c r="C118" s="339"/>
      <c r="D118" s="339">
        <v>9.313225746154785E-10</v>
      </c>
      <c r="H118" s="342"/>
      <c r="I118" s="342"/>
      <c r="J118" s="339">
        <v>0</v>
      </c>
    </row>
    <row r="119" spans="1:5" ht="12.75">
      <c r="A119" s="141"/>
      <c r="B119" s="290"/>
      <c r="C119" s="291"/>
      <c r="D119" s="282"/>
      <c r="E119" s="37"/>
    </row>
    <row r="120" ht="12.75">
      <c r="A120" s="11" t="s">
        <v>235</v>
      </c>
    </row>
    <row r="121" ht="12.75">
      <c r="A121" s="25" t="s">
        <v>796</v>
      </c>
    </row>
    <row r="122" ht="12.75">
      <c r="A122" s="25" t="s">
        <v>795</v>
      </c>
    </row>
    <row r="123" ht="12.75">
      <c r="A123" s="25" t="s">
        <v>797</v>
      </c>
    </row>
    <row r="124" ht="12.75">
      <c r="A124" s="145" t="s">
        <v>91</v>
      </c>
    </row>
  </sheetData>
  <sheetProtection/>
  <printOptions horizontalCentered="1"/>
  <pageMargins left="0.75" right="0.75" top="1" bottom="1" header="0.5" footer="0.5"/>
  <pageSetup fitToHeight="3" horizontalDpi="600" verticalDpi="600" orientation="landscape" scale="92" r:id="rId3"/>
  <headerFooter alignWithMargins="0">
    <oddFooter>&amp;L&amp;F</oddFooter>
  </headerFooter>
  <rowBreaks count="2" manualBreakCount="2">
    <brk id="41" max="10" man="1"/>
    <brk id="84" max="10" man="1"/>
  </rowBreaks>
  <legacyDrawing r:id="rId2"/>
</worksheet>
</file>

<file path=xl/worksheets/sheet17.xml><?xml version="1.0" encoding="utf-8"?>
<worksheet xmlns="http://schemas.openxmlformats.org/spreadsheetml/2006/main" xmlns:r="http://schemas.openxmlformats.org/officeDocument/2006/relationships">
  <dimension ref="A1:X126"/>
  <sheetViews>
    <sheetView zoomScale="70" zoomScaleNormal="70" zoomScalePageLayoutView="0" workbookViewId="0" topLeftCell="A1">
      <selection activeCell="A1" sqref="A1"/>
    </sheetView>
  </sheetViews>
  <sheetFormatPr defaultColWidth="9.140625" defaultRowHeight="12.75"/>
  <cols>
    <col min="1" max="1" width="43.28125" style="11" customWidth="1"/>
    <col min="2" max="2" width="11.7109375" style="62" customWidth="1"/>
    <col min="3" max="3" width="11.7109375" style="52" customWidth="1"/>
    <col min="4" max="4" width="11.7109375" style="53" customWidth="1"/>
    <col min="5" max="5" width="2.7109375" style="53" customWidth="1"/>
    <col min="6" max="6" width="11.7109375" style="64" customWidth="1"/>
    <col min="7" max="7" width="2.7109375" style="24" customWidth="1"/>
    <col min="8" max="8" width="11.7109375" style="11" customWidth="1"/>
    <col min="9" max="9" width="2.28125" style="24" customWidth="1"/>
    <col min="10" max="10" width="11.7109375" style="24" customWidth="1"/>
    <col min="11" max="11" width="11.7109375" style="64" customWidth="1"/>
    <col min="12" max="12" width="9.140625" style="11" customWidth="1"/>
    <col min="13" max="13" width="11.28125" style="11" bestFit="1" customWidth="1"/>
    <col min="14" max="14" width="11.140625" style="11" bestFit="1" customWidth="1"/>
    <col min="15" max="16384" width="9.140625" style="11" customWidth="1"/>
  </cols>
  <sheetData>
    <row r="1" ht="15.75" customHeight="1">
      <c r="A1" s="158" t="s">
        <v>57</v>
      </c>
    </row>
    <row r="2" ht="15.75" customHeight="1">
      <c r="A2" s="158" t="s">
        <v>787</v>
      </c>
    </row>
    <row r="3" spans="2:11" s="4" customFormat="1" ht="38.25">
      <c r="B3" s="189" t="s">
        <v>248</v>
      </c>
      <c r="C3" s="146" t="s">
        <v>249</v>
      </c>
      <c r="D3" s="168" t="s">
        <v>250</v>
      </c>
      <c r="E3" s="168"/>
      <c r="F3" s="169" t="s">
        <v>207</v>
      </c>
      <c r="G3" s="159"/>
      <c r="H3" s="190" t="s">
        <v>246</v>
      </c>
      <c r="I3" s="159"/>
      <c r="J3" s="189" t="s">
        <v>110</v>
      </c>
      <c r="K3" s="41" t="s">
        <v>133</v>
      </c>
    </row>
    <row r="4" spans="1:11" ht="12.75">
      <c r="A4" s="15" t="s">
        <v>283</v>
      </c>
      <c r="B4" s="65"/>
      <c r="C4" s="39"/>
      <c r="D4" s="37"/>
      <c r="E4" s="37"/>
      <c r="F4" s="38"/>
      <c r="G4" s="2"/>
      <c r="H4" s="66"/>
      <c r="I4" s="2"/>
      <c r="J4" s="2"/>
      <c r="K4" s="38"/>
    </row>
    <row r="5" spans="1:11" ht="4.5" customHeight="1">
      <c r="A5" s="49"/>
      <c r="B5" s="65"/>
      <c r="C5" s="39"/>
      <c r="D5" s="37"/>
      <c r="E5" s="37"/>
      <c r="F5" s="38"/>
      <c r="G5" s="2"/>
      <c r="H5" s="66"/>
      <c r="I5" s="2"/>
      <c r="J5" s="2"/>
      <c r="K5" s="38"/>
    </row>
    <row r="6" spans="1:11" ht="12.75">
      <c r="A6" s="82" t="s">
        <v>275</v>
      </c>
      <c r="B6" s="57"/>
      <c r="C6" s="67"/>
      <c r="D6" s="40"/>
      <c r="E6" s="40"/>
      <c r="F6" s="41"/>
      <c r="G6" s="43"/>
      <c r="H6" s="54"/>
      <c r="I6" s="68"/>
      <c r="J6" s="68"/>
      <c r="K6" s="41"/>
    </row>
    <row r="7" spans="1:11" ht="12.75">
      <c r="A7" s="337" t="s">
        <v>135</v>
      </c>
      <c r="B7" s="135">
        <v>854.2062996629105</v>
      </c>
      <c r="C7" s="46">
        <v>31567.219498882674</v>
      </c>
      <c r="D7" s="135">
        <v>591959.4004531449</v>
      </c>
      <c r="E7" s="135"/>
      <c r="F7" s="83">
        <f>IF(D7&lt;&gt;0,C7/D7,0)</f>
        <v>0.05332666306965979</v>
      </c>
      <c r="G7" s="159"/>
      <c r="H7" s="54">
        <v>1.3751805869654952</v>
      </c>
      <c r="I7" s="72"/>
      <c r="J7" s="46">
        <f>C7*H7</f>
        <v>43410.6274393421</v>
      </c>
      <c r="K7" s="83">
        <f>F7*(H7)</f>
        <v>0.07333379182104593</v>
      </c>
    </row>
    <row r="8" spans="1:11" ht="12.75" customHeight="1">
      <c r="A8" s="338" t="s">
        <v>136</v>
      </c>
      <c r="B8" s="135">
        <v>323.4752103456305</v>
      </c>
      <c r="C8" s="46">
        <v>6719.535921640926</v>
      </c>
      <c r="D8" s="135">
        <v>229986.6697198893</v>
      </c>
      <c r="E8" s="135"/>
      <c r="F8" s="83">
        <f>IF(D8&lt;&gt;0,C8/D8,0)</f>
        <v>0.029217066927509056</v>
      </c>
      <c r="G8" s="159"/>
      <c r="H8" s="54">
        <v>1.2686565014544036</v>
      </c>
      <c r="I8" s="72"/>
      <c r="J8" s="46">
        <f>C8*H8</f>
        <v>8524.782933746168</v>
      </c>
      <c r="K8" s="83">
        <f>F8*(H8)</f>
        <v>0.037066421911012795</v>
      </c>
    </row>
    <row r="9" spans="1:11" ht="12.75">
      <c r="A9" s="337" t="s">
        <v>137</v>
      </c>
      <c r="B9" s="135">
        <v>226.38889741295327</v>
      </c>
      <c r="C9" s="46">
        <v>6005.220388240067</v>
      </c>
      <c r="D9" s="135">
        <v>159120.1260384901</v>
      </c>
      <c r="E9" s="135"/>
      <c r="F9" s="83">
        <f>IF(D9&lt;&gt;0,C9/D9,0)</f>
        <v>0.03774016862447334</v>
      </c>
      <c r="G9" s="159"/>
      <c r="H9" s="54">
        <v>1.4666301987498853</v>
      </c>
      <c r="I9" s="48"/>
      <c r="J9" s="46">
        <f>C9*H9</f>
        <v>8807.437571541393</v>
      </c>
      <c r="K9" s="83">
        <f>F9*(H9)</f>
        <v>0.05535087101056552</v>
      </c>
    </row>
    <row r="10" spans="1:11" ht="12.75">
      <c r="A10" s="337" t="s">
        <v>107</v>
      </c>
      <c r="B10" s="135">
        <v>5.920507791356054</v>
      </c>
      <c r="C10" s="46">
        <v>214.404677105389</v>
      </c>
      <c r="D10" s="135">
        <v>4084.6316955380435</v>
      </c>
      <c r="E10" s="135"/>
      <c r="F10" s="83">
        <f>IF(D10&lt;&gt;0,C10/D10,0)</f>
        <v>0.0524905776301936</v>
      </c>
      <c r="G10" s="159"/>
      <c r="H10" s="54">
        <v>1.2686565014544036</v>
      </c>
      <c r="I10" s="72"/>
      <c r="J10" s="46">
        <f>C10*H10</f>
        <v>272.00588755198385</v>
      </c>
      <c r="K10" s="83">
        <f>F10*(H10)</f>
        <v>0.0665925125756422</v>
      </c>
    </row>
    <row r="11" spans="1:12" ht="12.75">
      <c r="A11" s="337" t="s">
        <v>277</v>
      </c>
      <c r="B11" s="135">
        <f>SUM(B7:B10)</f>
        <v>1409.9909152128503</v>
      </c>
      <c r="C11" s="46">
        <f>SUM(C7:C10)</f>
        <v>44506.38048586906</v>
      </c>
      <c r="D11" s="135">
        <f>SUM(D7:D10)</f>
        <v>985150.8279070624</v>
      </c>
      <c r="E11" s="135"/>
      <c r="F11" s="83">
        <f>IF(D11&lt;&gt;0,C11/D11,0)</f>
        <v>0.0451772248726849</v>
      </c>
      <c r="G11" s="159"/>
      <c r="H11" s="54"/>
      <c r="I11" s="72"/>
      <c r="J11" s="46">
        <f>SUM(J7:J10)</f>
        <v>61014.85383218164</v>
      </c>
      <c r="K11" s="83">
        <f>SUMPRODUCT(K7:K10,D7:D10)/D11</f>
        <v>0.06193453033157039</v>
      </c>
      <c r="L11" s="84"/>
    </row>
    <row r="12" spans="1:12" ht="4.5" customHeight="1">
      <c r="A12" s="21"/>
      <c r="B12" s="135"/>
      <c r="C12" s="46"/>
      <c r="D12" s="135"/>
      <c r="E12" s="135"/>
      <c r="F12" s="83"/>
      <c r="G12" s="159"/>
      <c r="H12" s="54"/>
      <c r="I12" s="72"/>
      <c r="J12" s="46"/>
      <c r="K12" s="83"/>
      <c r="L12" s="84"/>
    </row>
    <row r="13" spans="1:12" ht="12.75">
      <c r="A13" s="89" t="s">
        <v>383</v>
      </c>
      <c r="B13" s="135"/>
      <c r="C13" s="46"/>
      <c r="D13" s="135"/>
      <c r="E13" s="135"/>
      <c r="F13" s="83"/>
      <c r="G13" s="159"/>
      <c r="H13" s="54"/>
      <c r="I13" s="72"/>
      <c r="J13" s="46"/>
      <c r="K13" s="83"/>
      <c r="L13" s="84"/>
    </row>
    <row r="14" spans="1:12" ht="12.75">
      <c r="A14" s="337" t="s">
        <v>135</v>
      </c>
      <c r="B14" s="135">
        <v>80.08269732204569</v>
      </c>
      <c r="C14" s="46">
        <v>2949.562290572466</v>
      </c>
      <c r="D14" s="135">
        <v>54427.76702570063</v>
      </c>
      <c r="E14" s="135"/>
      <c r="F14" s="83">
        <f>IF(D14&lt;&gt;0,C14/D14,0)</f>
        <v>0.05419223407015193</v>
      </c>
      <c r="G14" s="159"/>
      <c r="H14" s="54">
        <v>1.3751805869654952</v>
      </c>
      <c r="I14" s="72"/>
      <c r="J14" s="46">
        <f>C14*H14</f>
        <v>4056.180802040734</v>
      </c>
      <c r="K14" s="83">
        <f>F14*(H14)</f>
        <v>0.07452410825756303</v>
      </c>
      <c r="L14" s="84"/>
    </row>
    <row r="15" spans="1:12" ht="12.75">
      <c r="A15" s="338" t="s">
        <v>136</v>
      </c>
      <c r="B15" s="135">
        <v>43.642689927437495</v>
      </c>
      <c r="C15" s="46">
        <v>902.3760525759801</v>
      </c>
      <c r="D15" s="135">
        <v>30109.632625839316</v>
      </c>
      <c r="E15" s="135"/>
      <c r="F15" s="83">
        <f>IF(D15&lt;&gt;0,C15/D15,0)</f>
        <v>0.029969679928993357</v>
      </c>
      <c r="G15" s="159"/>
      <c r="H15" s="54">
        <v>1.2686565014544036</v>
      </c>
      <c r="I15" s="72"/>
      <c r="J15" s="46">
        <f>C15*H15</f>
        <v>1144.805245857278</v>
      </c>
      <c r="K15" s="83">
        <f>F15*(H15)</f>
        <v>0.03802122928842497</v>
      </c>
      <c r="L15" s="84"/>
    </row>
    <row r="16" spans="1:12" ht="12.75">
      <c r="A16" s="337" t="s">
        <v>137</v>
      </c>
      <c r="B16" s="135">
        <v>14.326872533468208</v>
      </c>
      <c r="C16" s="46">
        <v>378.964937179312</v>
      </c>
      <c r="D16" s="135">
        <v>9884.286907548185</v>
      </c>
      <c r="E16" s="135"/>
      <c r="F16" s="83">
        <f>IF(D16&lt;&gt;0,C16/D16,0)</f>
        <v>0.03834013932658243</v>
      </c>
      <c r="G16" s="159"/>
      <c r="H16" s="54">
        <v>1.4666301987498853</v>
      </c>
      <c r="I16" s="72"/>
      <c r="J16" s="46">
        <f>C16*H16</f>
        <v>555.8014211345322</v>
      </c>
      <c r="K16" s="83">
        <f>F16*(H16)</f>
        <v>0.05623080616064388</v>
      </c>
      <c r="L16" s="84"/>
    </row>
    <row r="17" spans="1:12" ht="12.75" customHeight="1">
      <c r="A17" s="337" t="s">
        <v>107</v>
      </c>
      <c r="B17" s="135">
        <v>0.8526569432476147</v>
      </c>
      <c r="C17" s="46">
        <v>30.878033277074792</v>
      </c>
      <c r="D17" s="135">
        <v>588.2585917536778</v>
      </c>
      <c r="E17" s="135"/>
      <c r="F17" s="83">
        <f>IF(D17&lt;&gt;0,C17/D17,0)</f>
        <v>0.0524905776301936</v>
      </c>
      <c r="G17" s="159"/>
      <c r="H17" s="54">
        <v>1.2686565014544036</v>
      </c>
      <c r="I17" s="72"/>
      <c r="J17" s="46">
        <f>C17*H17</f>
        <v>39.173617669086354</v>
      </c>
      <c r="K17" s="83">
        <f>F17*(H17)</f>
        <v>0.0665925125756422</v>
      </c>
      <c r="L17" s="84"/>
    </row>
    <row r="18" spans="1:12" ht="12.75">
      <c r="A18" s="337" t="s">
        <v>277</v>
      </c>
      <c r="B18" s="135">
        <f>SUM(B14:B17)</f>
        <v>138.90491672619902</v>
      </c>
      <c r="C18" s="46">
        <f>SUM(C14:C17)</f>
        <v>4261.781313604833</v>
      </c>
      <c r="D18" s="135">
        <f>SUM(D14:D17)</f>
        <v>95009.94515084181</v>
      </c>
      <c r="E18" s="135"/>
      <c r="F18" s="83">
        <f>IF(D18&lt;&gt;0,C18/D18,0)</f>
        <v>0.04485616012974903</v>
      </c>
      <c r="G18" s="159"/>
      <c r="H18" s="54"/>
      <c r="I18" s="72"/>
      <c r="J18" s="46">
        <f>SUM(J14:J17)</f>
        <v>5795.961086701631</v>
      </c>
      <c r="K18" s="83">
        <f>SUMPRODUCT(K14:K17,D14:D17)/D18</f>
        <v>0.061003730477895944</v>
      </c>
      <c r="L18" s="84"/>
    </row>
    <row r="19" spans="1:12" ht="4.5" customHeight="1">
      <c r="A19" s="81"/>
      <c r="B19" s="135"/>
      <c r="C19" s="135"/>
      <c r="D19" s="135"/>
      <c r="E19" s="135"/>
      <c r="F19" s="83"/>
      <c r="G19" s="159"/>
      <c r="H19" s="54"/>
      <c r="I19" s="72"/>
      <c r="J19" s="46"/>
      <c r="K19" s="83"/>
      <c r="L19" s="84"/>
    </row>
    <row r="20" spans="1:12" ht="12.75" customHeight="1">
      <c r="A20" s="89" t="s">
        <v>384</v>
      </c>
      <c r="B20" s="135"/>
      <c r="C20" s="135"/>
      <c r="D20" s="135"/>
      <c r="E20" s="135"/>
      <c r="F20" s="83"/>
      <c r="G20" s="159"/>
      <c r="H20" s="54"/>
      <c r="I20" s="72"/>
      <c r="J20" s="46"/>
      <c r="K20" s="83"/>
      <c r="L20" s="84"/>
    </row>
    <row r="21" spans="1:12" ht="12.75" customHeight="1">
      <c r="A21" s="337" t="s">
        <v>135</v>
      </c>
      <c r="B21" s="135">
        <v>146.43245850292942</v>
      </c>
      <c r="C21" s="46">
        <v>5393.320556863396</v>
      </c>
      <c r="D21" s="135">
        <v>98321.9490031346</v>
      </c>
      <c r="E21" s="135"/>
      <c r="F21" s="83">
        <f>IF(D21&lt;&gt;0,C21/D21,0)</f>
        <v>0.05485367826355284</v>
      </c>
      <c r="G21" s="159"/>
      <c r="H21" s="54">
        <v>1.3751805869654952</v>
      </c>
      <c r="I21" s="72"/>
      <c r="J21" s="46">
        <f>C21*H21</f>
        <v>7416.789729080476</v>
      </c>
      <c r="K21" s="83">
        <f>F21*(H21)</f>
        <v>0.07543371347168902</v>
      </c>
      <c r="L21" s="84"/>
    </row>
    <row r="22" spans="1:12" ht="12.75" customHeight="1">
      <c r="A22" s="338" t="s">
        <v>136</v>
      </c>
      <c r="B22" s="135">
        <v>68.78949381942681</v>
      </c>
      <c r="C22" s="46">
        <v>1422.3227760406483</v>
      </c>
      <c r="D22" s="135">
        <v>47458.72426434092</v>
      </c>
      <c r="E22" s="135"/>
      <c r="F22" s="83">
        <f>IF(D22&lt;&gt;0,C22/D22,0)</f>
        <v>0.02996967992899336</v>
      </c>
      <c r="G22" s="159"/>
      <c r="H22" s="54">
        <v>1.2686565014544036</v>
      </c>
      <c r="I22" s="72"/>
      <c r="J22" s="46">
        <f>C22*H22</f>
        <v>1804.439036990644</v>
      </c>
      <c r="K22" s="83">
        <f>F22*(H22)</f>
        <v>0.038021229288424975</v>
      </c>
      <c r="L22" s="84"/>
    </row>
    <row r="23" spans="1:12" ht="12.75" customHeight="1">
      <c r="A23" s="337" t="s">
        <v>137</v>
      </c>
      <c r="B23" s="135">
        <v>34.67618912198367</v>
      </c>
      <c r="C23" s="46">
        <v>917.2315731526462</v>
      </c>
      <c r="D23" s="135">
        <v>23923.53260220681</v>
      </c>
      <c r="E23" s="135"/>
      <c r="F23" s="83">
        <f>IF(D23&lt;&gt;0,C23/D23,0)</f>
        <v>0.03834013932658243</v>
      </c>
      <c r="G23" s="159"/>
      <c r="H23" s="54">
        <v>1.4666301987498853</v>
      </c>
      <c r="I23" s="72"/>
      <c r="J23" s="46">
        <f>C23*H23</f>
        <v>1345.2395244325355</v>
      </c>
      <c r="K23" s="83">
        <f>F23*(H23)</f>
        <v>0.05623080616064388</v>
      </c>
      <c r="L23" s="84"/>
    </row>
    <row r="24" spans="1:12" ht="12.75" customHeight="1">
      <c r="A24" s="337" t="s">
        <v>107</v>
      </c>
      <c r="B24" s="135">
        <v>0.684229641798707</v>
      </c>
      <c r="C24" s="46">
        <v>24.7786238251342</v>
      </c>
      <c r="D24" s="135">
        <v>472.05850923768554</v>
      </c>
      <c r="E24" s="135"/>
      <c r="F24" s="83">
        <f>IF(D24&lt;&gt;0,C24/D24,0)</f>
        <v>0.05249057763019361</v>
      </c>
      <c r="G24" s="159"/>
      <c r="H24" s="54">
        <v>1.2686565014544036</v>
      </c>
      <c r="I24" s="72"/>
      <c r="J24" s="46">
        <f>C24*H24</f>
        <v>31.435562212849486</v>
      </c>
      <c r="K24" s="83">
        <f>F24*(H24)</f>
        <v>0.06659251257564221</v>
      </c>
      <c r="L24" s="84"/>
    </row>
    <row r="25" spans="1:12" ht="12.75" customHeight="1">
      <c r="A25" s="337" t="s">
        <v>277</v>
      </c>
      <c r="B25" s="135">
        <f>SUM(B21:B24)</f>
        <v>250.5823710861386</v>
      </c>
      <c r="C25" s="46">
        <f>SUM(C21:C24)</f>
        <v>7757.6535298818235</v>
      </c>
      <c r="D25" s="135">
        <f>SUM(D21:D24)</f>
        <v>170176.26437892002</v>
      </c>
      <c r="E25" s="135"/>
      <c r="F25" s="83">
        <f>IF(D25&lt;&gt;0,C25/D25,0)</f>
        <v>0.04558599025659876</v>
      </c>
      <c r="G25" s="159"/>
      <c r="H25" s="54"/>
      <c r="I25" s="72"/>
      <c r="J25" s="46">
        <f>SUM(J21:J24)</f>
        <v>10597.903852716505</v>
      </c>
      <c r="K25" s="83">
        <f>SUMPRODUCT(K21:K24,D21:D24)/D25</f>
        <v>0.06227604003058186</v>
      </c>
      <c r="L25" s="84"/>
    </row>
    <row r="26" spans="1:12" ht="4.5" customHeight="1">
      <c r="A26" s="81"/>
      <c r="B26" s="135"/>
      <c r="C26" s="135"/>
      <c r="D26" s="135"/>
      <c r="E26" s="135"/>
      <c r="F26" s="83"/>
      <c r="G26" s="159"/>
      <c r="H26" s="54"/>
      <c r="I26" s="72"/>
      <c r="J26" s="46"/>
      <c r="K26" s="83"/>
      <c r="L26" s="84"/>
    </row>
    <row r="27" spans="1:12" ht="12.75" customHeight="1">
      <c r="A27" s="21" t="s">
        <v>276</v>
      </c>
      <c r="B27" s="135"/>
      <c r="C27" s="135"/>
      <c r="D27" s="135"/>
      <c r="E27" s="135"/>
      <c r="F27" s="83"/>
      <c r="G27" s="159"/>
      <c r="H27" s="54"/>
      <c r="I27" s="72"/>
      <c r="J27" s="46"/>
      <c r="K27" s="83"/>
      <c r="L27" s="84"/>
    </row>
    <row r="28" spans="1:12" ht="12.75" customHeight="1">
      <c r="A28" s="337" t="s">
        <v>135</v>
      </c>
      <c r="B28" s="135">
        <v>0</v>
      </c>
      <c r="C28" s="46">
        <v>0</v>
      </c>
      <c r="D28" s="135">
        <v>0</v>
      </c>
      <c r="E28" s="135"/>
      <c r="F28" s="83">
        <f>IF(D28&lt;&gt;0,C28/D28,0)</f>
        <v>0</v>
      </c>
      <c r="G28" s="159"/>
      <c r="H28" s="54">
        <v>1.3751805869654952</v>
      </c>
      <c r="I28" s="72"/>
      <c r="J28" s="46">
        <f>C28*H28</f>
        <v>0</v>
      </c>
      <c r="K28" s="83">
        <f>F28*(H28)</f>
        <v>0</v>
      </c>
      <c r="L28" s="84"/>
    </row>
    <row r="29" spans="1:12" ht="12.75" customHeight="1">
      <c r="A29" s="338" t="s">
        <v>136</v>
      </c>
      <c r="B29" s="135">
        <v>0</v>
      </c>
      <c r="C29" s="46">
        <v>0</v>
      </c>
      <c r="D29" s="135">
        <v>0</v>
      </c>
      <c r="E29" s="135"/>
      <c r="F29" s="83">
        <f>IF(D29&lt;&gt;0,C29/D29,0)</f>
        <v>0</v>
      </c>
      <c r="G29" s="159"/>
      <c r="H29" s="54">
        <v>1.2686565014544036</v>
      </c>
      <c r="I29" s="72"/>
      <c r="J29" s="46">
        <f>C29*H29</f>
        <v>0</v>
      </c>
      <c r="K29" s="83">
        <f>F29*(H29)</f>
        <v>0</v>
      </c>
      <c r="L29" s="84"/>
    </row>
    <row r="30" spans="1:12" ht="12.75" customHeight="1">
      <c r="A30" s="337" t="s">
        <v>137</v>
      </c>
      <c r="B30" s="135">
        <v>0</v>
      </c>
      <c r="C30" s="46">
        <v>0</v>
      </c>
      <c r="D30" s="135">
        <v>0</v>
      </c>
      <c r="E30" s="135"/>
      <c r="F30" s="83">
        <f>IF(D30&lt;&gt;0,C30/D30,0)</f>
        <v>0</v>
      </c>
      <c r="G30" s="159"/>
      <c r="H30" s="54">
        <v>1.4666301987498853</v>
      </c>
      <c r="I30" s="72"/>
      <c r="J30" s="46">
        <f>C30*H30</f>
        <v>0</v>
      </c>
      <c r="K30" s="83">
        <f>F30*(H30)</f>
        <v>0</v>
      </c>
      <c r="L30" s="84"/>
    </row>
    <row r="31" spans="1:12" ht="12.75" customHeight="1">
      <c r="A31" s="337" t="s">
        <v>107</v>
      </c>
      <c r="B31" s="135">
        <v>0</v>
      </c>
      <c r="C31" s="46">
        <v>0</v>
      </c>
      <c r="D31" s="135">
        <v>0</v>
      </c>
      <c r="E31" s="135"/>
      <c r="F31" s="83">
        <f>IF(D31&lt;&gt;0,C31/D31,0)</f>
        <v>0</v>
      </c>
      <c r="G31" s="159"/>
      <c r="H31" s="54">
        <v>1.2686565014544036</v>
      </c>
      <c r="I31" s="72"/>
      <c r="J31" s="46">
        <f>C31*H31</f>
        <v>0</v>
      </c>
      <c r="K31" s="83">
        <f>F31*(H31)</f>
        <v>0</v>
      </c>
      <c r="L31" s="84"/>
    </row>
    <row r="32" spans="1:13" ht="12.75" customHeight="1">
      <c r="A32" s="337" t="s">
        <v>277</v>
      </c>
      <c r="B32" s="135">
        <f>SUM(B28:B31)</f>
        <v>0</v>
      </c>
      <c r="C32" s="46">
        <f>SUM(C28:C31)</f>
        <v>0</v>
      </c>
      <c r="D32" s="135">
        <f>SUM(D28:D31)</f>
        <v>0</v>
      </c>
      <c r="E32" s="135"/>
      <c r="F32" s="83">
        <f>IF(D32&lt;&gt;0,C32/D32,0)</f>
        <v>0</v>
      </c>
      <c r="G32" s="159"/>
      <c r="H32" s="54"/>
      <c r="I32" s="72"/>
      <c r="J32" s="46">
        <f>SUM(J28:J31)</f>
        <v>0</v>
      </c>
      <c r="K32" s="488">
        <f>IF(D32&lt;&gt;0,SUMPRODUCT(K28:K31,D28:D31)/D32,0)</f>
        <v>0</v>
      </c>
      <c r="L32" s="84"/>
      <c r="M32" s="16"/>
    </row>
    <row r="33" spans="1:12" ht="4.5" customHeight="1">
      <c r="A33" s="81"/>
      <c r="B33" s="135"/>
      <c r="C33" s="46"/>
      <c r="D33" s="135"/>
      <c r="E33" s="135"/>
      <c r="F33" s="83"/>
      <c r="G33" s="159"/>
      <c r="H33" s="54"/>
      <c r="I33" s="72"/>
      <c r="J33" s="46"/>
      <c r="K33" s="83"/>
      <c r="L33" s="84"/>
    </row>
    <row r="34" spans="1:12" ht="12.75" customHeight="1">
      <c r="A34" s="89" t="s">
        <v>288</v>
      </c>
      <c r="B34" s="135"/>
      <c r="C34" s="46"/>
      <c r="D34" s="135"/>
      <c r="E34" s="135"/>
      <c r="F34" s="83"/>
      <c r="G34" s="159"/>
      <c r="H34" s="54"/>
      <c r="I34" s="72"/>
      <c r="J34" s="46"/>
      <c r="K34" s="83"/>
      <c r="L34" s="84"/>
    </row>
    <row r="35" spans="1:12" ht="12.75">
      <c r="A35" s="337" t="s">
        <v>135</v>
      </c>
      <c r="B35" s="135">
        <f aca="true" t="shared" si="0" ref="B35:D38">SUM(B7,B14,B21,B28)</f>
        <v>1080.7214554878856</v>
      </c>
      <c r="C35" s="46">
        <f t="shared" si="0"/>
        <v>39910.102346318534</v>
      </c>
      <c r="D35" s="135">
        <f t="shared" si="0"/>
        <v>744709.1164819802</v>
      </c>
      <c r="E35" s="135"/>
      <c r="F35" s="83">
        <f>IF(D35&lt;&gt;0,C35/D35,0)</f>
        <v>0.0535915318652934</v>
      </c>
      <c r="G35" s="159"/>
      <c r="H35" s="54">
        <v>1.3751805869654952</v>
      </c>
      <c r="I35" s="72"/>
      <c r="J35" s="46">
        <f>SUM(J7,J14,J21,J28)</f>
        <v>54883.59797046331</v>
      </c>
      <c r="K35" s="83">
        <f>F35*(H35)</f>
        <v>0.07369803424689421</v>
      </c>
      <c r="L35" s="84"/>
    </row>
    <row r="36" spans="1:12" ht="12.75">
      <c r="A36" s="338" t="s">
        <v>136</v>
      </c>
      <c r="B36" s="135">
        <f t="shared" si="0"/>
        <v>435.9073940924948</v>
      </c>
      <c r="C36" s="46">
        <f t="shared" si="0"/>
        <v>9044.234750257554</v>
      </c>
      <c r="D36" s="135">
        <f t="shared" si="0"/>
        <v>307555.02661006956</v>
      </c>
      <c r="E36" s="135"/>
      <c r="F36" s="83">
        <f>IF(D36&lt;&gt;0,C36/D36,0)</f>
        <v>0.029406883216785116</v>
      </c>
      <c r="G36" s="159"/>
      <c r="H36" s="54">
        <v>1.2686565014544036</v>
      </c>
      <c r="I36" s="72"/>
      <c r="J36" s="46">
        <f>SUM(J8,J15,J22,J29)</f>
        <v>11474.02721659409</v>
      </c>
      <c r="K36" s="83">
        <f>F36*(H36)</f>
        <v>0.03730723358048482</v>
      </c>
      <c r="L36" s="84"/>
    </row>
    <row r="37" spans="1:12" ht="12.75">
      <c r="A37" s="337" t="s">
        <v>137</v>
      </c>
      <c r="B37" s="135">
        <f t="shared" si="0"/>
        <v>275.3919590684052</v>
      </c>
      <c r="C37" s="46">
        <f t="shared" si="0"/>
        <v>7301.416898572025</v>
      </c>
      <c r="D37" s="135">
        <f t="shared" si="0"/>
        <v>192927.94554824507</v>
      </c>
      <c r="E37" s="135"/>
      <c r="F37" s="83">
        <f>IF(D37&lt;&gt;0,C37/D37,0)</f>
        <v>0.03784530477336253</v>
      </c>
      <c r="G37" s="159"/>
      <c r="H37" s="54">
        <v>1.4666301987498853</v>
      </c>
      <c r="I37" s="72"/>
      <c r="J37" s="46">
        <f>SUM(J9,J16,J23,J30)</f>
        <v>10708.478517108462</v>
      </c>
      <c r="K37" s="83">
        <f>F37*(H37)</f>
        <v>0.05550506686150667</v>
      </c>
      <c r="L37" s="84"/>
    </row>
    <row r="38" spans="1:12" ht="12.75">
      <c r="A38" s="337" t="s">
        <v>107</v>
      </c>
      <c r="B38" s="135">
        <f t="shared" si="0"/>
        <v>7.457394376402376</v>
      </c>
      <c r="C38" s="46">
        <f t="shared" si="0"/>
        <v>270.061334207598</v>
      </c>
      <c r="D38" s="135">
        <f t="shared" si="0"/>
        <v>5144.948796529407</v>
      </c>
      <c r="E38" s="135"/>
      <c r="F38" s="83">
        <f>IF(D38&lt;&gt;0,C38/D38,0)</f>
        <v>0.0524905776301936</v>
      </c>
      <c r="G38" s="159"/>
      <c r="H38" s="54">
        <v>1.2686565014544036</v>
      </c>
      <c r="I38" s="72"/>
      <c r="J38" s="46">
        <f>SUM(J10,J17,J24,J31)</f>
        <v>342.6150674339197</v>
      </c>
      <c r="K38" s="83">
        <f>F38*(H38)</f>
        <v>0.0665925125756422</v>
      </c>
      <c r="L38" s="84"/>
    </row>
    <row r="39" spans="1:12" ht="12.75">
      <c r="A39" s="338" t="s">
        <v>102</v>
      </c>
      <c r="B39" s="135">
        <f>SUM(B35:B38)</f>
        <v>1799.478203025188</v>
      </c>
      <c r="C39" s="46">
        <f>SUM(C35:C38)</f>
        <v>56525.815329355704</v>
      </c>
      <c r="D39" s="135">
        <f>SUM(D35:D38)</f>
        <v>1250337.037436824</v>
      </c>
      <c r="E39" s="135"/>
      <c r="F39" s="83"/>
      <c r="G39" s="159"/>
      <c r="H39" s="54"/>
      <c r="I39" s="72"/>
      <c r="J39" s="46">
        <f>SUM(J35:J38)</f>
        <v>77408.71877159977</v>
      </c>
      <c r="K39" s="83">
        <f>SUMPRODUCT(K35:K38,D35:D38)/D39</f>
        <v>0.06191028215103243</v>
      </c>
      <c r="L39" s="84"/>
    </row>
    <row r="40" spans="1:12" ht="4.5" customHeight="1">
      <c r="A40" s="81"/>
      <c r="B40" s="135"/>
      <c r="C40" s="46"/>
      <c r="D40" s="135"/>
      <c r="E40" s="135"/>
      <c r="F40" s="83"/>
      <c r="G40" s="159"/>
      <c r="H40" s="54"/>
      <c r="I40" s="72"/>
      <c r="J40" s="46"/>
      <c r="K40" s="83"/>
      <c r="L40" s="84"/>
    </row>
    <row r="41" spans="1:12" ht="12.75">
      <c r="A41" s="81"/>
      <c r="B41" s="135"/>
      <c r="C41" s="46"/>
      <c r="D41" s="135"/>
      <c r="E41" s="135"/>
      <c r="F41" s="83"/>
      <c r="G41" s="159"/>
      <c r="H41" s="54"/>
      <c r="I41" s="72"/>
      <c r="J41" s="46"/>
      <c r="K41" s="83"/>
      <c r="L41" s="84"/>
    </row>
    <row r="42" spans="1:12" ht="15.75">
      <c r="A42" s="158" t="s">
        <v>58</v>
      </c>
      <c r="L42" s="84"/>
    </row>
    <row r="43" spans="1:12" ht="15.75">
      <c r="A43" s="158" t="s">
        <v>787</v>
      </c>
      <c r="L43" s="84"/>
    </row>
    <row r="44" spans="1:12" ht="25.5">
      <c r="A44" s="4"/>
      <c r="B44" s="189" t="s">
        <v>248</v>
      </c>
      <c r="C44" s="146" t="s">
        <v>249</v>
      </c>
      <c r="D44" s="168" t="s">
        <v>250</v>
      </c>
      <c r="E44" s="168"/>
      <c r="F44" s="169" t="s">
        <v>207</v>
      </c>
      <c r="G44" s="159"/>
      <c r="H44" s="190" t="s">
        <v>246</v>
      </c>
      <c r="I44" s="159"/>
      <c r="J44" s="189" t="s">
        <v>110</v>
      </c>
      <c r="K44" s="41" t="s">
        <v>133</v>
      </c>
      <c r="L44" s="84"/>
    </row>
    <row r="45" spans="1:12" ht="12.75">
      <c r="A45" s="15" t="s">
        <v>385</v>
      </c>
      <c r="B45" s="135"/>
      <c r="C45" s="46"/>
      <c r="D45" s="135"/>
      <c r="E45" s="135"/>
      <c r="F45" s="83"/>
      <c r="G45" s="159"/>
      <c r="H45" s="54"/>
      <c r="I45" s="72"/>
      <c r="J45" s="46"/>
      <c r="K45" s="83"/>
      <c r="L45" s="84"/>
    </row>
    <row r="46" spans="1:12" ht="4.5" customHeight="1">
      <c r="A46" s="81"/>
      <c r="B46" s="135"/>
      <c r="C46" s="46"/>
      <c r="D46" s="135"/>
      <c r="E46" s="135"/>
      <c r="F46" s="83"/>
      <c r="G46" s="159"/>
      <c r="H46" s="54"/>
      <c r="I46" s="72"/>
      <c r="J46" s="46"/>
      <c r="K46" s="83"/>
      <c r="L46" s="84"/>
    </row>
    <row r="47" spans="1:12" ht="12.75">
      <c r="A47" s="89" t="s">
        <v>386</v>
      </c>
      <c r="B47" s="135"/>
      <c r="C47" s="46"/>
      <c r="D47" s="135"/>
      <c r="E47" s="135"/>
      <c r="F47" s="41"/>
      <c r="G47" s="159"/>
      <c r="H47" s="54"/>
      <c r="I47" s="72"/>
      <c r="J47" s="42"/>
      <c r="K47" s="41"/>
      <c r="L47" s="84"/>
    </row>
    <row r="48" spans="1:12" ht="12.75">
      <c r="A48" s="337" t="s">
        <v>135</v>
      </c>
      <c r="B48" s="135">
        <v>201.99304207905175</v>
      </c>
      <c r="C48" s="46">
        <v>11925.349231677428</v>
      </c>
      <c r="D48" s="135">
        <v>186196.01135205352</v>
      </c>
      <c r="E48" s="135"/>
      <c r="F48" s="83">
        <f>IF(D48&lt;&gt;0,C48/D48,0)</f>
        <v>0.06404728621779848</v>
      </c>
      <c r="G48" s="159"/>
      <c r="H48" s="54">
        <v>1.3751805869654952</v>
      </c>
      <c r="I48" s="72"/>
      <c r="J48" s="46">
        <f>C48*H48</f>
        <v>16399.508756186682</v>
      </c>
      <c r="K48" s="83">
        <f>F48*(H48)</f>
        <v>0.08807658465453919</v>
      </c>
      <c r="L48" s="84"/>
    </row>
    <row r="49" spans="1:12" ht="12.75">
      <c r="A49" s="338" t="s">
        <v>136</v>
      </c>
      <c r="B49" s="135">
        <v>41.35331503310392</v>
      </c>
      <c r="C49" s="46">
        <v>1313.5736293941222</v>
      </c>
      <c r="D49" s="135">
        <v>89673.76482518794</v>
      </c>
      <c r="E49" s="135"/>
      <c r="F49" s="83">
        <f>IF(D49&lt;&gt;0,C49/D49,0)</f>
        <v>0.01464836044248652</v>
      </c>
      <c r="G49" s="159"/>
      <c r="H49" s="54">
        <v>1.2686565014544036</v>
      </c>
      <c r="I49" s="72"/>
      <c r="J49" s="46">
        <f>C49*H49</f>
        <v>1666.4737250699104</v>
      </c>
      <c r="K49" s="83">
        <f>F49*(H49)</f>
        <v>0.01858373771100803</v>
      </c>
      <c r="L49" s="84"/>
    </row>
    <row r="50" spans="1:12" ht="12.75">
      <c r="A50" s="337" t="s">
        <v>137</v>
      </c>
      <c r="B50" s="53">
        <v>14.16341178593758</v>
      </c>
      <c r="C50" s="46">
        <v>527.2875994327867</v>
      </c>
      <c r="D50" s="53">
        <v>30713.050612695486</v>
      </c>
      <c r="E50" s="135"/>
      <c r="F50" s="83">
        <f>IF(D50&lt;&gt;0,C50/D50,0)</f>
        <v>0.01716819361521933</v>
      </c>
      <c r="G50" s="159"/>
      <c r="H50" s="54">
        <v>1.4666301987498853</v>
      </c>
      <c r="I50" s="72"/>
      <c r="J50" s="46">
        <f>C50*H50</f>
        <v>773.3359167544579</v>
      </c>
      <c r="K50" s="83">
        <f>F50*(H50)</f>
        <v>0.025179391214065636</v>
      </c>
      <c r="L50" s="84"/>
    </row>
    <row r="51" spans="1:12" ht="12.75">
      <c r="A51" s="337" t="s">
        <v>107</v>
      </c>
      <c r="B51" s="53">
        <v>0.8251118948884245</v>
      </c>
      <c r="C51" s="46">
        <v>29.88051965029992</v>
      </c>
      <c r="D51" s="53">
        <v>1789.237210063063</v>
      </c>
      <c r="E51" s="135"/>
      <c r="F51" s="83">
        <f>IF(D51&lt;&gt;0,C51/D51,0)</f>
        <v>0.016700144330916725</v>
      </c>
      <c r="G51" s="159"/>
      <c r="H51" s="54">
        <v>1.2686565014544036</v>
      </c>
      <c r="I51" s="72"/>
      <c r="J51" s="46">
        <f>C51*H51</f>
        <v>37.90811552118905</v>
      </c>
      <c r="K51" s="83">
        <f>F51*(H51)</f>
        <v>0.021186746680644405</v>
      </c>
      <c r="L51" s="84"/>
    </row>
    <row r="52" spans="1:12" ht="12.75">
      <c r="A52" s="337" t="s">
        <v>277</v>
      </c>
      <c r="B52" s="53">
        <f>SUM(B48:B51)</f>
        <v>258.33488079298166</v>
      </c>
      <c r="C52" s="46">
        <f>SUM(C48:C51)</f>
        <v>13796.090980154637</v>
      </c>
      <c r="D52" s="53">
        <f>SUM(D48:D51)</f>
        <v>308372.0640000001</v>
      </c>
      <c r="E52" s="135"/>
      <c r="F52" s="41"/>
      <c r="G52" s="159"/>
      <c r="H52" s="54"/>
      <c r="I52" s="72"/>
      <c r="J52" s="46">
        <f>SUM(J48:J51)</f>
        <v>18877.22651353224</v>
      </c>
      <c r="K52" s="83">
        <f>SUMPRODUCT(K48:K51,D48:D51)/D52</f>
        <v>0.061215747849105544</v>
      </c>
      <c r="L52" s="84"/>
    </row>
    <row r="53" spans="1:12" ht="12.75">
      <c r="A53" s="21"/>
      <c r="B53" s="135"/>
      <c r="C53" s="135"/>
      <c r="D53" s="135"/>
      <c r="E53" s="135"/>
      <c r="F53" s="83"/>
      <c r="G53" s="159"/>
      <c r="H53" s="54"/>
      <c r="I53" s="72"/>
      <c r="J53" s="46"/>
      <c r="K53" s="83"/>
      <c r="L53" s="84"/>
    </row>
    <row r="54" spans="2:11" ht="4.5" customHeight="1">
      <c r="B54" s="57"/>
      <c r="C54" s="57"/>
      <c r="D54" s="57"/>
      <c r="E54" s="40"/>
      <c r="F54" s="41"/>
      <c r="G54" s="159"/>
      <c r="H54" s="54"/>
      <c r="I54" s="72"/>
      <c r="J54" s="42"/>
      <c r="K54" s="41"/>
    </row>
    <row r="55" spans="1:11" ht="12.75">
      <c r="A55" s="89" t="s">
        <v>387</v>
      </c>
      <c r="B55" s="57"/>
      <c r="C55" s="57"/>
      <c r="D55" s="57"/>
      <c r="E55" s="40"/>
      <c r="F55" s="41"/>
      <c r="G55" s="159"/>
      <c r="H55" s="54"/>
      <c r="I55" s="72"/>
      <c r="J55" s="42"/>
      <c r="K55" s="41"/>
    </row>
    <row r="56" spans="1:11" ht="12.75">
      <c r="A56" s="337" t="s">
        <v>135</v>
      </c>
      <c r="B56" s="135">
        <v>57.684843624146495</v>
      </c>
      <c r="C56" s="46">
        <v>3405.6217902962603</v>
      </c>
      <c r="D56" s="135">
        <v>53173.55334486991</v>
      </c>
      <c r="E56" s="135"/>
      <c r="F56" s="83">
        <f>IF(D56&lt;&gt;0,C56/D56,0)</f>
        <v>0.06404728621779851</v>
      </c>
      <c r="G56" s="159"/>
      <c r="H56" s="54">
        <v>1.3751805869654952</v>
      </c>
      <c r="I56" s="72"/>
      <c r="J56" s="46">
        <f>C56*H56</f>
        <v>4683.344972562092</v>
      </c>
      <c r="K56" s="83">
        <f>F56*(H56)</f>
        <v>0.08807658465453923</v>
      </c>
    </row>
    <row r="57" spans="1:11" ht="12.75">
      <c r="A57" s="338" t="s">
        <v>136</v>
      </c>
      <c r="B57" s="135">
        <v>11.493675692115325</v>
      </c>
      <c r="C57" s="46">
        <v>365.0925997561485</v>
      </c>
      <c r="D57" s="135">
        <v>24923.78592058832</v>
      </c>
      <c r="E57" s="135"/>
      <c r="F57" s="83">
        <f>IF(D57&lt;&gt;0,C57/D57,0)</f>
        <v>0.014648360442486522</v>
      </c>
      <c r="G57" s="159"/>
      <c r="H57" s="54">
        <v>1.2686565014544036</v>
      </c>
      <c r="I57" s="72"/>
      <c r="J57" s="46">
        <f>C57*H57</f>
        <v>463.1771003135282</v>
      </c>
      <c r="K57" s="83">
        <f>F57*(H57)</f>
        <v>0.01858373771100803</v>
      </c>
    </row>
    <row r="58" spans="1:11" ht="12.75">
      <c r="A58" s="337" t="s">
        <v>137</v>
      </c>
      <c r="B58" s="53">
        <v>3.61551871094404</v>
      </c>
      <c r="C58" s="46">
        <v>134.60162075431785</v>
      </c>
      <c r="D58" s="53">
        <v>7840.173740526534</v>
      </c>
      <c r="E58" s="135"/>
      <c r="F58" s="83">
        <f>IF(D58&lt;&gt;0,C58/D58,0)</f>
        <v>0.017168193615219325</v>
      </c>
      <c r="G58" s="159"/>
      <c r="H58" s="54">
        <v>1.4666301987498853</v>
      </c>
      <c r="I58" s="72"/>
      <c r="J58" s="46">
        <f>C58*H58</f>
        <v>197.41080179896187</v>
      </c>
      <c r="K58" s="83">
        <f>F58*(H58)</f>
        <v>0.025179391214065632</v>
      </c>
    </row>
    <row r="59" spans="1:11" ht="12.75">
      <c r="A59" s="337" t="s">
        <v>107</v>
      </c>
      <c r="B59" s="53">
        <v>0.1881719635365046</v>
      </c>
      <c r="C59" s="46">
        <v>6.814440670314624</v>
      </c>
      <c r="D59" s="53">
        <v>408.046812966709</v>
      </c>
      <c r="E59" s="135"/>
      <c r="F59" s="83">
        <f>IF(D59&lt;&gt;0,C59/D59,0)</f>
        <v>0.016700144330916728</v>
      </c>
      <c r="G59" s="159"/>
      <c r="H59" s="54">
        <v>1.2686565014544036</v>
      </c>
      <c r="I59" s="72"/>
      <c r="J59" s="46">
        <f>C59*H59</f>
        <v>8.64518446016995</v>
      </c>
      <c r="K59" s="83">
        <f>F59*(H59)</f>
        <v>0.021186746680644408</v>
      </c>
    </row>
    <row r="60" spans="1:11" ht="12.75">
      <c r="A60" s="337" t="s">
        <v>277</v>
      </c>
      <c r="B60" s="53">
        <f>SUM(B56:B59)</f>
        <v>72.98220999074238</v>
      </c>
      <c r="C60" s="46">
        <f>SUM(C56:C59)</f>
        <v>3912.1304514770413</v>
      </c>
      <c r="D60" s="53">
        <f>SUM(D56:D59)</f>
        <v>86345.55981895147</v>
      </c>
      <c r="E60" s="135"/>
      <c r="F60" s="41"/>
      <c r="G60" s="159"/>
      <c r="H60" s="54"/>
      <c r="I60" s="72"/>
      <c r="J60" s="46">
        <f>SUM(J56:J59)</f>
        <v>5352.578059134752</v>
      </c>
      <c r="K60" s="83">
        <f>SUMPRODUCT(K56:K59,D56:D59)/D60</f>
        <v>0.061990194636041336</v>
      </c>
    </row>
    <row r="61" spans="2:11" ht="4.5" customHeight="1">
      <c r="B61" s="135"/>
      <c r="C61" s="135"/>
      <c r="D61" s="135"/>
      <c r="E61" s="135"/>
      <c r="F61" s="41"/>
      <c r="G61" s="159"/>
      <c r="H61" s="54"/>
      <c r="I61" s="72"/>
      <c r="J61" s="42"/>
      <c r="K61" s="41"/>
    </row>
    <row r="62" spans="1:11" ht="12.75">
      <c r="A62" s="89" t="s">
        <v>388</v>
      </c>
      <c r="B62" s="11"/>
      <c r="C62" s="11"/>
      <c r="D62" s="11"/>
      <c r="E62" s="11"/>
      <c r="F62" s="11"/>
      <c r="G62" s="11"/>
      <c r="I62" s="11"/>
      <c r="J62" s="11"/>
      <c r="K62" s="11"/>
    </row>
    <row r="63" spans="1:11" ht="12.75">
      <c r="A63" s="337" t="s">
        <v>135</v>
      </c>
      <c r="B63" s="135">
        <v>17.309212562629625</v>
      </c>
      <c r="C63" s="46">
        <v>1021.9084905603474</v>
      </c>
      <c r="D63" s="135">
        <v>15955.531466005546</v>
      </c>
      <c r="E63" s="11"/>
      <c r="F63" s="83">
        <f>IF(D63&lt;&gt;0,C63/D63,0)</f>
        <v>0.06404728621779851</v>
      </c>
      <c r="G63" s="11"/>
      <c r="H63" s="54">
        <v>1.3751805869654952</v>
      </c>
      <c r="I63" s="11"/>
      <c r="J63" s="46">
        <f>C63*H63</f>
        <v>1405.3087178738017</v>
      </c>
      <c r="K63" s="83">
        <f>F63*(H63)</f>
        <v>0.08807658465453923</v>
      </c>
    </row>
    <row r="64" spans="1:11" ht="12.75">
      <c r="A64" s="338" t="s">
        <v>136</v>
      </c>
      <c r="B64" s="135">
        <v>4.379296708965307</v>
      </c>
      <c r="C64" s="46">
        <v>139.10683261025898</v>
      </c>
      <c r="D64" s="135">
        <v>9496.40972833994</v>
      </c>
      <c r="E64" s="11"/>
      <c r="F64" s="83">
        <f>IF(D64&lt;&gt;0,C64/D64,0)</f>
        <v>0.014648360442486524</v>
      </c>
      <c r="G64" s="11"/>
      <c r="H64" s="54">
        <v>1.2686565014544036</v>
      </c>
      <c r="I64" s="11"/>
      <c r="J64" s="46">
        <f>C64*H64</f>
        <v>176.4787875877345</v>
      </c>
      <c r="K64" s="83">
        <f>F64*(H64)</f>
        <v>0.018583737711008033</v>
      </c>
    </row>
    <row r="65" spans="1:11" ht="12.75">
      <c r="A65" s="337" t="s">
        <v>137</v>
      </c>
      <c r="B65" s="53">
        <v>2.4482530682571</v>
      </c>
      <c r="C65" s="46">
        <v>91.14565774660093</v>
      </c>
      <c r="D65" s="53">
        <v>5308.983565155147</v>
      </c>
      <c r="E65" s="11"/>
      <c r="F65" s="83">
        <f>IF(D65&lt;&gt;0,C65/D65,0)</f>
        <v>0.01716819361521933</v>
      </c>
      <c r="G65" s="11"/>
      <c r="H65" s="54">
        <v>1.4666301987498853</v>
      </c>
      <c r="I65" s="11"/>
      <c r="J65" s="46">
        <f>C65*H65</f>
        <v>133.67697413608636</v>
      </c>
      <c r="K65" s="83">
        <f>F65*(H65)</f>
        <v>0.025179391214065636</v>
      </c>
    </row>
    <row r="66" spans="1:11" ht="12.75">
      <c r="A66" s="337" t="s">
        <v>107</v>
      </c>
      <c r="B66" s="53">
        <v>0.1946358010449046</v>
      </c>
      <c r="C66" s="46">
        <v>7.048521435460072</v>
      </c>
      <c r="D66" s="53">
        <v>422.06350411063517</v>
      </c>
      <c r="E66" s="11"/>
      <c r="F66" s="83">
        <f>IF(D66&lt;&gt;0,C66/D66,0)</f>
        <v>0.016700144330916725</v>
      </c>
      <c r="G66" s="11"/>
      <c r="H66" s="54">
        <v>1.2686565014544036</v>
      </c>
      <c r="I66" s="11"/>
      <c r="J66" s="46">
        <f>C66*H66</f>
        <v>8.942152544737144</v>
      </c>
      <c r="K66" s="83">
        <f>F66*(H66)</f>
        <v>0.021186746680644405</v>
      </c>
    </row>
    <row r="67" spans="1:11" ht="12.75">
      <c r="A67" s="337" t="s">
        <v>277</v>
      </c>
      <c r="B67" s="53">
        <f>SUM(B63:B66)</f>
        <v>24.331398140896933</v>
      </c>
      <c r="C67" s="46">
        <f>SUM(C63:C66)</f>
        <v>1259.2095023526674</v>
      </c>
      <c r="D67" s="53">
        <f>SUM(D63:D66)</f>
        <v>31182.98826361127</v>
      </c>
      <c r="E67" s="11"/>
      <c r="F67" s="11"/>
      <c r="G67" s="11"/>
      <c r="I67" s="11"/>
      <c r="J67" s="46">
        <f>SUM(J63:J66)</f>
        <v>1724.4066321423597</v>
      </c>
      <c r="K67" s="83">
        <f>SUMPRODUCT(K63:K66,D63:D66)/D67</f>
        <v>0.05529959532950349</v>
      </c>
    </row>
    <row r="68" spans="1:11" ht="4.5" customHeight="1">
      <c r="A68" s="21"/>
      <c r="B68" s="135"/>
      <c r="C68" s="46"/>
      <c r="D68" s="135"/>
      <c r="E68" s="135"/>
      <c r="F68" s="41"/>
      <c r="G68" s="159"/>
      <c r="H68" s="54"/>
      <c r="I68" s="72"/>
      <c r="J68" s="42"/>
      <c r="K68" s="41"/>
    </row>
    <row r="69" spans="1:11" ht="12.75" customHeight="1">
      <c r="A69" s="89" t="s">
        <v>389</v>
      </c>
      <c r="B69" s="135"/>
      <c r="C69" s="46"/>
      <c r="D69" s="135"/>
      <c r="E69" s="135"/>
      <c r="F69" s="83"/>
      <c r="G69" s="159"/>
      <c r="H69" s="54"/>
      <c r="I69" s="72"/>
      <c r="J69" s="46"/>
      <c r="K69" s="83"/>
    </row>
    <row r="70" spans="1:11" ht="12.75" customHeight="1">
      <c r="A70" s="337" t="s">
        <v>135</v>
      </c>
      <c r="B70" s="135">
        <f aca="true" t="shared" si="1" ref="B70:D73">SUM(B48,B56,B63)</f>
        <v>276.98709826582785</v>
      </c>
      <c r="C70" s="46">
        <f t="shared" si="1"/>
        <v>16352.879512534035</v>
      </c>
      <c r="D70" s="135">
        <f t="shared" si="1"/>
        <v>255325.09616292897</v>
      </c>
      <c r="E70" s="135"/>
      <c r="F70" s="83">
        <f>IF(D70&lt;&gt;0,C70/D70,0)</f>
        <v>0.0640472862177985</v>
      </c>
      <c r="G70" s="159"/>
      <c r="H70" s="54">
        <v>1.3751805869654952</v>
      </c>
      <c r="I70" s="72"/>
      <c r="J70" s="46">
        <f>C70*H70</f>
        <v>22488.162446622573</v>
      </c>
      <c r="K70" s="83">
        <f>F70*(H70)</f>
        <v>0.0880765846545392</v>
      </c>
    </row>
    <row r="71" spans="1:11" ht="12.75" customHeight="1">
      <c r="A71" s="338" t="s">
        <v>136</v>
      </c>
      <c r="B71" s="135">
        <f t="shared" si="1"/>
        <v>57.22628743418455</v>
      </c>
      <c r="C71" s="46">
        <f t="shared" si="1"/>
        <v>1817.7730617605298</v>
      </c>
      <c r="D71" s="135">
        <f t="shared" si="1"/>
        <v>124093.96047411622</v>
      </c>
      <c r="E71" s="135"/>
      <c r="F71" s="83">
        <f>IF(D71&lt;&gt;0,C71/D71,0)</f>
        <v>0.01464836044248652</v>
      </c>
      <c r="G71" s="159"/>
      <c r="H71" s="54">
        <v>1.2686565014544036</v>
      </c>
      <c r="I71" s="72"/>
      <c r="J71" s="46">
        <f>C71*H71</f>
        <v>2306.129612971173</v>
      </c>
      <c r="K71" s="83">
        <f>F71*(H71)</f>
        <v>0.01858373771100803</v>
      </c>
    </row>
    <row r="72" spans="1:11" ht="12.75" customHeight="1">
      <c r="A72" s="337" t="s">
        <v>137</v>
      </c>
      <c r="B72" s="135">
        <f t="shared" si="1"/>
        <v>20.22718356513872</v>
      </c>
      <c r="C72" s="46">
        <f t="shared" si="1"/>
        <v>753.0348779337055</v>
      </c>
      <c r="D72" s="135">
        <f t="shared" si="1"/>
        <v>43862.207918377164</v>
      </c>
      <c r="E72" s="135"/>
      <c r="F72" s="83">
        <f>IF(D72&lt;&gt;0,C72/D72,0)</f>
        <v>0.01716819361521933</v>
      </c>
      <c r="G72" s="159"/>
      <c r="H72" s="54">
        <v>1.4666301987498853</v>
      </c>
      <c r="I72" s="72"/>
      <c r="J72" s="46">
        <f>C72*H72</f>
        <v>1104.4236926895062</v>
      </c>
      <c r="K72" s="83">
        <f>F72*(H72)</f>
        <v>0.025179391214065636</v>
      </c>
    </row>
    <row r="73" spans="1:11" ht="12.75" customHeight="1">
      <c r="A73" s="337" t="s">
        <v>107</v>
      </c>
      <c r="B73" s="135">
        <f t="shared" si="1"/>
        <v>1.2079196594698336</v>
      </c>
      <c r="C73" s="46">
        <f t="shared" si="1"/>
        <v>43.743481756074615</v>
      </c>
      <c r="D73" s="135">
        <f t="shared" si="1"/>
        <v>2619.3475271404072</v>
      </c>
      <c r="E73" s="135"/>
      <c r="F73" s="83">
        <f>IF(D73&lt;&gt;0,C73/D73,0)</f>
        <v>0.016700144330916725</v>
      </c>
      <c r="G73" s="159"/>
      <c r="H73" s="54">
        <v>1.2686565014544036</v>
      </c>
      <c r="I73" s="72"/>
      <c r="J73" s="46">
        <f>C73*H73</f>
        <v>55.49545252609615</v>
      </c>
      <c r="K73" s="83">
        <f>F73*(H73)</f>
        <v>0.021186746680644405</v>
      </c>
    </row>
    <row r="74" spans="1:11" ht="12.75" customHeight="1">
      <c r="A74" s="337" t="s">
        <v>102</v>
      </c>
      <c r="B74" s="135">
        <f>SUM(B70:B73)</f>
        <v>355.64848892462095</v>
      </c>
      <c r="C74" s="46">
        <f>SUM(C70:C73)</f>
        <v>18967.430933984342</v>
      </c>
      <c r="D74" s="135">
        <f>SUM(D70:D73)</f>
        <v>425900.61208256276</v>
      </c>
      <c r="E74" s="135"/>
      <c r="F74" s="41"/>
      <c r="G74" s="159"/>
      <c r="H74" s="54"/>
      <c r="I74" s="72"/>
      <c r="J74" s="46">
        <f>SUM(J70:J73)</f>
        <v>25954.211204809348</v>
      </c>
      <c r="K74" s="83">
        <f>SUMPRODUCT(K70:K73,D70:D73)/D74</f>
        <v>0.06093959592567576</v>
      </c>
    </row>
    <row r="75" spans="1:11" ht="4.5" customHeight="1">
      <c r="A75" s="21"/>
      <c r="B75" s="135"/>
      <c r="C75" s="46"/>
      <c r="D75" s="135"/>
      <c r="E75" s="135"/>
      <c r="F75" s="41"/>
      <c r="G75" s="159"/>
      <c r="H75" s="54"/>
      <c r="I75" s="72"/>
      <c r="J75" s="42"/>
      <c r="K75" s="41"/>
    </row>
    <row r="76" spans="1:12" ht="12.75">
      <c r="A76" s="81"/>
      <c r="B76" s="135"/>
      <c r="C76" s="46"/>
      <c r="D76" s="135"/>
      <c r="E76" s="135"/>
      <c r="F76" s="83"/>
      <c r="G76" s="159"/>
      <c r="H76" s="54"/>
      <c r="I76" s="72"/>
      <c r="J76" s="46"/>
      <c r="K76" s="83"/>
      <c r="L76" s="84"/>
    </row>
    <row r="77" spans="1:11" ht="12.75">
      <c r="A77" s="15" t="s">
        <v>285</v>
      </c>
      <c r="B77" s="48"/>
      <c r="C77" s="42"/>
      <c r="D77" s="40"/>
      <c r="E77" s="40"/>
      <c r="F77" s="41"/>
      <c r="G77" s="159"/>
      <c r="H77" s="54"/>
      <c r="I77" s="72"/>
      <c r="J77" s="42"/>
      <c r="K77" s="41"/>
    </row>
    <row r="78" spans="1:13" ht="12.75">
      <c r="A78" s="337" t="s">
        <v>135</v>
      </c>
      <c r="B78" s="135">
        <v>519.8272877615599</v>
      </c>
      <c r="C78" s="46">
        <v>30689.77962263769</v>
      </c>
      <c r="D78" s="135">
        <v>1354736.4337925373</v>
      </c>
      <c r="E78" s="135"/>
      <c r="F78" s="83">
        <f>IF(D78&lt;&gt;0,C78/D78,0)</f>
        <v>0.02265369030987284</v>
      </c>
      <c r="G78" s="159"/>
      <c r="H78" s="54">
        <v>1.3751805869654952</v>
      </c>
      <c r="I78" s="72"/>
      <c r="J78" s="46">
        <f>C78*H78</f>
        <v>42203.98915530059</v>
      </c>
      <c r="K78" s="83">
        <f>F78*(H78)</f>
        <v>0.031152915137265483</v>
      </c>
      <c r="M78" s="63"/>
    </row>
    <row r="79" spans="1:13" ht="12.75">
      <c r="A79" s="338" t="s">
        <v>136</v>
      </c>
      <c r="B79" s="135">
        <v>167.54686405360488</v>
      </c>
      <c r="C79" s="46">
        <v>5322.067702004447</v>
      </c>
      <c r="D79" s="135">
        <v>521310.4167116091</v>
      </c>
      <c r="E79" s="135"/>
      <c r="F79" s="83">
        <f>IF(D79&lt;&gt;0,C79/D79,0)</f>
        <v>0.010209018525997792</v>
      </c>
      <c r="G79" s="159"/>
      <c r="H79" s="54">
        <v>1.2686565014544036</v>
      </c>
      <c r="I79" s="72"/>
      <c r="J79" s="46">
        <f>C79*H79</f>
        <v>6751.875791328439</v>
      </c>
      <c r="K79" s="83">
        <f>F79*(H79)</f>
        <v>0.012951737726475551</v>
      </c>
      <c r="M79" s="63"/>
    </row>
    <row r="80" spans="1:13" ht="12.75">
      <c r="A80" s="337" t="s">
        <v>137</v>
      </c>
      <c r="B80" s="135">
        <v>79.32410300070501</v>
      </c>
      <c r="C80" s="46">
        <v>3207.597023398308</v>
      </c>
      <c r="D80" s="135">
        <v>246811.43048634942</v>
      </c>
      <c r="E80" s="135"/>
      <c r="F80" s="83">
        <f>IF(D80&lt;&gt;0,C80/D80,0)</f>
        <v>0.012996144534625649</v>
      </c>
      <c r="G80" s="159"/>
      <c r="H80" s="54">
        <v>1.4666301987498853</v>
      </c>
      <c r="I80" s="72"/>
      <c r="J80" s="46">
        <f>C80*H80</f>
        <v>4704.358659936201</v>
      </c>
      <c r="K80" s="83">
        <f>F80*(H80)</f>
        <v>0.019060538041800253</v>
      </c>
      <c r="M80" s="63"/>
    </row>
    <row r="81" spans="1:13" ht="12.75">
      <c r="A81" s="337" t="s">
        <v>107</v>
      </c>
      <c r="B81" s="135">
        <v>3.168773291099477</v>
      </c>
      <c r="C81" s="46">
        <v>114.75363908654735</v>
      </c>
      <c r="D81" s="135">
        <v>9859.417746662048</v>
      </c>
      <c r="E81" s="135"/>
      <c r="F81" s="83">
        <f>IF(D81&lt;&gt;0,C81/D81,0)</f>
        <v>0.01163898741641186</v>
      </c>
      <c r="G81" s="159"/>
      <c r="H81" s="54">
        <v>1.2686565014544036</v>
      </c>
      <c r="I81" s="72"/>
      <c r="J81" s="46">
        <f>C81*H81</f>
        <v>145.58295029270047</v>
      </c>
      <c r="K81" s="83">
        <f>F81*(H81)</f>
        <v>0.014765877056176897</v>
      </c>
      <c r="M81" s="63"/>
    </row>
    <row r="82" spans="1:13" ht="12.75">
      <c r="A82" s="337" t="s">
        <v>102</v>
      </c>
      <c r="B82" s="135">
        <f>SUM(B78:B81)</f>
        <v>769.8670281069692</v>
      </c>
      <c r="C82" s="46">
        <f>SUM(C78:C81)</f>
        <v>39334.197987126994</v>
      </c>
      <c r="D82" s="135">
        <f>SUM(D78:D81)</f>
        <v>2132717.698737158</v>
      </c>
      <c r="E82" s="135"/>
      <c r="F82" s="83">
        <f>IF(D82&lt;&gt;0,C82/D82,0)</f>
        <v>0.018443227629431628</v>
      </c>
      <c r="G82" s="159"/>
      <c r="H82" s="54"/>
      <c r="I82" s="72"/>
      <c r="J82" s="46">
        <f>SUM(J78:J81)</f>
        <v>53805.806556857926</v>
      </c>
      <c r="K82" s="83">
        <f>SUMPRODUCT(K78:K81,D78:D81)/D82</f>
        <v>0.025228752304497618</v>
      </c>
      <c r="M82" s="63"/>
    </row>
    <row r="83" spans="2:11" ht="4.5" customHeight="1">
      <c r="B83" s="57"/>
      <c r="C83" s="46"/>
      <c r="D83" s="44"/>
      <c r="E83" s="44"/>
      <c r="F83" s="45"/>
      <c r="G83" s="23"/>
      <c r="H83" s="55"/>
      <c r="I83" s="79"/>
      <c r="J83" s="46"/>
      <c r="K83" s="41"/>
    </row>
    <row r="84" ht="12.75" customHeight="1"/>
    <row r="85" ht="15.75">
      <c r="A85" s="158" t="s">
        <v>59</v>
      </c>
    </row>
    <row r="86" ht="15.75">
      <c r="A86" s="158" t="s">
        <v>787</v>
      </c>
    </row>
    <row r="87" spans="1:11" ht="25.5">
      <c r="A87" s="4"/>
      <c r="B87" s="189" t="s">
        <v>223</v>
      </c>
      <c r="C87" s="146" t="s">
        <v>217</v>
      </c>
      <c r="D87" s="168" t="s">
        <v>222</v>
      </c>
      <c r="E87" s="168"/>
      <c r="F87" s="169" t="s">
        <v>207</v>
      </c>
      <c r="G87" s="159"/>
      <c r="H87" s="190" t="s">
        <v>246</v>
      </c>
      <c r="I87" s="159"/>
      <c r="J87" s="189" t="s">
        <v>110</v>
      </c>
      <c r="K87" s="41" t="s">
        <v>133</v>
      </c>
    </row>
    <row r="88" spans="1:14" ht="12.75">
      <c r="A88" s="25" t="s">
        <v>390</v>
      </c>
      <c r="B88" s="57"/>
      <c r="C88" s="46"/>
      <c r="D88" s="44"/>
      <c r="E88" s="44"/>
      <c r="F88" s="45"/>
      <c r="G88" s="23"/>
      <c r="H88" s="55"/>
      <c r="I88" s="79"/>
      <c r="J88" s="46"/>
      <c r="K88" s="41"/>
      <c r="N88" s="63"/>
    </row>
    <row r="89" spans="1:14" ht="12.75">
      <c r="A89" s="21" t="s">
        <v>186</v>
      </c>
      <c r="B89" s="57"/>
      <c r="C89" s="46"/>
      <c r="D89" s="44"/>
      <c r="E89" s="44"/>
      <c r="F89" s="45"/>
      <c r="G89" s="23"/>
      <c r="H89" s="55"/>
      <c r="I89" s="79"/>
      <c r="J89" s="46"/>
      <c r="K89" s="41"/>
      <c r="N89" s="63"/>
    </row>
    <row r="90" spans="1:20" ht="12.75">
      <c r="A90" s="81" t="s">
        <v>138</v>
      </c>
      <c r="B90" s="56" t="s">
        <v>106</v>
      </c>
      <c r="C90" s="46">
        <f>'Table 3.14-Route UAA'!C90*SUM($D$103,$D$109)/SUM($D$103,$D$109,'Table 3.15-Route UAA NoPARS'!$D$103,'Table 3.15-Route UAA NoPARS'!$D$109)</f>
        <v>2387.9445791536746</v>
      </c>
      <c r="D90" s="40">
        <f>'Table 3.14-Route UAA'!D90*SUM($D$103,$D$109)/SUM($D$103,$D$109,'Table 3.15-Route UAA NoPARS'!$D$103,'Table 3.15-Route UAA NoPARS'!$D$109)</f>
        <v>52041.38190383083</v>
      </c>
      <c r="E90" s="184" t="s">
        <v>239</v>
      </c>
      <c r="F90" s="83">
        <f>IF(D90&lt;&gt;0,C90/D90,0)</f>
        <v>0.04588549519239218</v>
      </c>
      <c r="G90" s="285" t="s">
        <v>240</v>
      </c>
      <c r="H90" s="54">
        <v>1.359485895130023</v>
      </c>
      <c r="I90" s="72"/>
      <c r="J90" s="46">
        <f>C90*H90</f>
        <v>3246.3769737116195</v>
      </c>
      <c r="K90" s="83">
        <f>F90*(H90)</f>
        <v>0.062380683505113645</v>
      </c>
      <c r="P90" s="140"/>
      <c r="Q90" s="140"/>
      <c r="R90" s="140"/>
      <c r="S90" s="140"/>
      <c r="T90" s="140"/>
    </row>
    <row r="91" spans="1:13" ht="12.75">
      <c r="A91" s="81" t="s">
        <v>781</v>
      </c>
      <c r="B91" s="56" t="s">
        <v>106</v>
      </c>
      <c r="C91" s="46">
        <f>'Table 3.14-Route UAA'!C91*SUM($D$103,$D$109)/SUM($D$103,$D$109,'Table 3.15-Route UAA NoPARS'!$D$103,'Table 3.15-Route UAA NoPARS'!$D$109)</f>
        <v>5536.944640096613</v>
      </c>
      <c r="D91" s="40">
        <f>'Table 3.14-Route UAA'!D91*SUM($D$103,$D$109)/SUM($D$103,$D$109,'Table 3.15-Route UAA NoPARS'!$D$103,'Table 3.15-Route UAA NoPARS'!$D$109)</f>
        <v>52041.38190383083</v>
      </c>
      <c r="E91" s="184" t="s">
        <v>239</v>
      </c>
      <c r="F91" s="83">
        <f>IF(D91&lt;&gt;0,C91/D91,0)</f>
        <v>0.10639503482687172</v>
      </c>
      <c r="G91" s="285" t="s">
        <v>240</v>
      </c>
      <c r="H91" s="340">
        <v>1.5595101237373266</v>
      </c>
      <c r="I91" s="72"/>
      <c r="J91" s="46">
        <f>C91*H91</f>
        <v>8634.921220803795</v>
      </c>
      <c r="K91" s="83">
        <f>F91*(H91)</f>
        <v>0.1659241339278919</v>
      </c>
      <c r="L91" s="64"/>
      <c r="M91" s="442"/>
    </row>
    <row r="92" spans="1:11" ht="12.75">
      <c r="A92" s="21" t="s">
        <v>187</v>
      </c>
      <c r="B92" s="56"/>
      <c r="C92" s="46"/>
      <c r="D92" s="40"/>
      <c r="E92" s="40"/>
      <c r="F92" s="41"/>
      <c r="G92" s="159"/>
      <c r="H92" s="54"/>
      <c r="I92" s="72"/>
      <c r="J92" s="42"/>
      <c r="K92" s="41"/>
    </row>
    <row r="93" spans="1:11" ht="12.75">
      <c r="A93" s="81" t="s">
        <v>138</v>
      </c>
      <c r="B93" s="56" t="s">
        <v>106</v>
      </c>
      <c r="C93" s="46">
        <f>'Table 3.14-Route UAA'!C93*$D$111/SUM($D$111,'Table 3.15-Route UAA NoPARS'!$D$111)</f>
        <v>213.45095507258964</v>
      </c>
      <c r="D93" s="40">
        <f>'Table 3.14-Route UAA'!D93*$D$111/SUM($D$111,'Table 3.15-Route UAA NoPARS'!$D$111)</f>
        <v>4643.4588966610545</v>
      </c>
      <c r="E93" s="184" t="s">
        <v>239</v>
      </c>
      <c r="F93" s="83">
        <f>IF(D93&lt;&gt;0,C93/D93,0)</f>
        <v>0.04596809400554285</v>
      </c>
      <c r="G93" s="285" t="s">
        <v>240</v>
      </c>
      <c r="H93" s="54">
        <v>1.359485895130023</v>
      </c>
      <c r="I93" s="72"/>
      <c r="J93" s="46">
        <f>C93*H93</f>
        <v>290.18356272321785</v>
      </c>
      <c r="K93" s="83">
        <f>F93*(H93)</f>
        <v>0.06249297542654647</v>
      </c>
    </row>
    <row r="94" spans="1:13" ht="12.75">
      <c r="A94" s="81" t="s">
        <v>781</v>
      </c>
      <c r="B94" s="56" t="s">
        <v>106</v>
      </c>
      <c r="C94" s="46">
        <f>'Table 3.14-Route UAA'!C94*$D$111/SUM($D$111,'Table 3.15-Route UAA NoPARS'!$D$111)</f>
        <v>514.4072079292168</v>
      </c>
      <c r="D94" s="40">
        <f>'Table 3.14-Route UAA'!D94*$D$111/SUM($D$111,'Table 3.15-Route UAA NoPARS'!$D$111)</f>
        <v>4643.4588966610545</v>
      </c>
      <c r="E94" s="184" t="s">
        <v>239</v>
      </c>
      <c r="F94" s="83">
        <f>IF(D94&lt;&gt;0,C94/D94,0)</f>
        <v>0.11078104046513876</v>
      </c>
      <c r="G94" s="285" t="s">
        <v>240</v>
      </c>
      <c r="H94" s="340">
        <v>1.5595101237373266</v>
      </c>
      <c r="I94" s="79"/>
      <c r="J94" s="46">
        <f>C94*H94</f>
        <v>802.2232484890657</v>
      </c>
      <c r="K94" s="83">
        <f>F94*(H94)</f>
        <v>0.17276415412353832</v>
      </c>
      <c r="L94" s="64"/>
      <c r="M94" s="442"/>
    </row>
    <row r="95" spans="1:11" ht="12.75">
      <c r="A95" s="81"/>
      <c r="B95" s="57"/>
      <c r="C95" s="46"/>
      <c r="D95" s="44"/>
      <c r="E95" s="44"/>
      <c r="F95" s="45"/>
      <c r="G95" s="23"/>
      <c r="H95" s="55"/>
      <c r="I95" s="79"/>
      <c r="J95" s="46"/>
      <c r="K95" s="41"/>
    </row>
    <row r="96" spans="1:11" ht="12.75">
      <c r="A96" s="25" t="s">
        <v>391</v>
      </c>
      <c r="B96" s="57"/>
      <c r="C96" s="46"/>
      <c r="D96" s="44"/>
      <c r="E96" s="44"/>
      <c r="F96" s="45"/>
      <c r="G96" s="23"/>
      <c r="H96" s="55"/>
      <c r="I96" s="79"/>
      <c r="J96" s="46"/>
      <c r="K96" s="41"/>
    </row>
    <row r="97" spans="1:11" ht="4.5" customHeight="1">
      <c r="A97" s="25"/>
      <c r="B97" s="57"/>
      <c r="C97" s="46"/>
      <c r="D97" s="44"/>
      <c r="E97" s="44"/>
      <c r="F97" s="45"/>
      <c r="G97" s="23"/>
      <c r="H97" s="55"/>
      <c r="I97" s="79"/>
      <c r="J97" s="46"/>
      <c r="K97" s="41"/>
    </row>
    <row r="98" spans="1:12" ht="12.75">
      <c r="A98" s="82" t="s">
        <v>284</v>
      </c>
      <c r="B98" s="57"/>
      <c r="C98" s="46"/>
      <c r="D98" s="44"/>
      <c r="E98" s="44"/>
      <c r="F98" s="45"/>
      <c r="G98" s="23"/>
      <c r="H98" s="55"/>
      <c r="I98" s="79"/>
      <c r="J98" s="46"/>
      <c r="K98" s="41"/>
      <c r="L98" s="47"/>
    </row>
    <row r="99" spans="1:11" ht="12.75">
      <c r="A99" s="338" t="s">
        <v>280</v>
      </c>
      <c r="B99" s="56" t="s">
        <v>106</v>
      </c>
      <c r="C99" s="46" t="s">
        <v>106</v>
      </c>
      <c r="D99" s="40">
        <f>D11</f>
        <v>985150.8279070624</v>
      </c>
      <c r="E99" s="40"/>
      <c r="F99" s="56" t="s">
        <v>106</v>
      </c>
      <c r="G99" s="159"/>
      <c r="H99" s="56" t="s">
        <v>106</v>
      </c>
      <c r="I99" s="72"/>
      <c r="J99" s="46">
        <f>J11+SUM($J$90:$J$91)*D99/SUM($D$103,$D$109)</f>
        <v>67997.67679663037</v>
      </c>
      <c r="K99" s="83">
        <f>J99/D99</f>
        <v>0.06902260534165147</v>
      </c>
    </row>
    <row r="100" spans="1:11" ht="12.75">
      <c r="A100" s="338" t="s">
        <v>287</v>
      </c>
      <c r="B100" s="56" t="s">
        <v>106</v>
      </c>
      <c r="C100" s="46" t="s">
        <v>106</v>
      </c>
      <c r="D100" s="40">
        <f>D18</f>
        <v>95009.94515084181</v>
      </c>
      <c r="E100" s="40"/>
      <c r="F100" s="56" t="s">
        <v>106</v>
      </c>
      <c r="G100" s="159"/>
      <c r="H100" s="56" t="s">
        <v>106</v>
      </c>
      <c r="I100" s="72"/>
      <c r="J100" s="46">
        <f>J18+SUM($J$90:$J$91)*D100/SUM($D$103,$D$109)</f>
        <v>6469.398704634486</v>
      </c>
      <c r="K100" s="83">
        <f>J100/D100</f>
        <v>0.06809180548797703</v>
      </c>
    </row>
    <row r="101" spans="1:11" ht="12.75">
      <c r="A101" s="338" t="s">
        <v>282</v>
      </c>
      <c r="B101" s="56" t="s">
        <v>106</v>
      </c>
      <c r="C101" s="46" t="s">
        <v>106</v>
      </c>
      <c r="D101" s="40">
        <f>D25</f>
        <v>170176.26437892002</v>
      </c>
      <c r="E101" s="40"/>
      <c r="F101" s="56" t="s">
        <v>106</v>
      </c>
      <c r="G101" s="159"/>
      <c r="H101" s="56" t="s">
        <v>106</v>
      </c>
      <c r="I101" s="72"/>
      <c r="J101" s="46">
        <f>J25+SUM($J$90:$J$91)*D101/SUM($D$103,$D$109)</f>
        <v>11804.125979569679</v>
      </c>
      <c r="K101" s="83">
        <f>J101/D101</f>
        <v>0.06936411504066294</v>
      </c>
    </row>
    <row r="102" spans="1:11" ht="12.75">
      <c r="A102" s="338" t="s">
        <v>276</v>
      </c>
      <c r="B102" s="56" t="s">
        <v>106</v>
      </c>
      <c r="C102" s="46" t="s">
        <v>106</v>
      </c>
      <c r="D102" s="40">
        <f>D32</f>
        <v>0</v>
      </c>
      <c r="E102" s="40"/>
      <c r="F102" s="56" t="s">
        <v>106</v>
      </c>
      <c r="G102" s="159"/>
      <c r="H102" s="56" t="s">
        <v>106</v>
      </c>
      <c r="I102" s="72"/>
      <c r="J102" s="46">
        <f>J32+SUM($J$90:$J$91)*D102/SUM($D$103,$D$109)</f>
        <v>0</v>
      </c>
      <c r="K102" s="488">
        <f>IF(D102&lt;&gt;0,J102/D102,0)</f>
        <v>0</v>
      </c>
    </row>
    <row r="103" spans="1:11" ht="12.75">
      <c r="A103" s="338" t="s">
        <v>281</v>
      </c>
      <c r="B103" s="56"/>
      <c r="C103" s="46"/>
      <c r="D103" s="40">
        <f>SUM(D99:D102)</f>
        <v>1250337.037436824</v>
      </c>
      <c r="E103" s="40"/>
      <c r="F103" s="56"/>
      <c r="G103" s="159"/>
      <c r="H103" s="56"/>
      <c r="I103" s="72"/>
      <c r="J103" s="46">
        <f>SUM(J99:J102)</f>
        <v>86271.20148083454</v>
      </c>
      <c r="K103" s="83">
        <f>J103/D103</f>
        <v>0.06899835716111351</v>
      </c>
    </row>
    <row r="104" spans="1:11" ht="4.5" customHeight="1">
      <c r="A104" s="21"/>
      <c r="B104" s="56"/>
      <c r="C104" s="46"/>
      <c r="D104" s="40"/>
      <c r="E104" s="40"/>
      <c r="F104" s="56"/>
      <c r="G104" s="159"/>
      <c r="H104" s="56"/>
      <c r="I104" s="72"/>
      <c r="J104" s="46"/>
      <c r="K104" s="83"/>
    </row>
    <row r="105" ht="12.75">
      <c r="A105" s="82" t="s">
        <v>392</v>
      </c>
    </row>
    <row r="106" spans="1:11" ht="12.75">
      <c r="A106" s="338" t="s">
        <v>386</v>
      </c>
      <c r="B106" s="56" t="s">
        <v>106</v>
      </c>
      <c r="C106" s="46" t="s">
        <v>106</v>
      </c>
      <c r="D106" s="40">
        <f>D52</f>
        <v>308372.0640000001</v>
      </c>
      <c r="E106" s="40"/>
      <c r="F106" s="56" t="s">
        <v>106</v>
      </c>
      <c r="G106" s="159"/>
      <c r="H106" s="56" t="s">
        <v>106</v>
      </c>
      <c r="I106" s="72"/>
      <c r="J106" s="46">
        <f>J52+SUM($J$90:$J$91)*D106/SUM($D$103,$D$109)</f>
        <v>21062.990834177766</v>
      </c>
      <c r="K106" s="83">
        <f>J106/D106</f>
        <v>0.06830382285918662</v>
      </c>
    </row>
    <row r="107" spans="1:11" ht="12.75">
      <c r="A107" s="338" t="s">
        <v>393</v>
      </c>
      <c r="B107" s="56" t="s">
        <v>106</v>
      </c>
      <c r="C107" s="46" t="s">
        <v>106</v>
      </c>
      <c r="D107" s="40">
        <f>D60</f>
        <v>86345.55981895147</v>
      </c>
      <c r="E107" s="40"/>
      <c r="F107" s="56" t="s">
        <v>106</v>
      </c>
      <c r="G107" s="159"/>
      <c r="H107" s="56" t="s">
        <v>106</v>
      </c>
      <c r="I107" s="72"/>
      <c r="J107" s="46">
        <f>J60+SUM($J$90:$J$91)*D107/SUM($D$103,$D$109)</f>
        <v>5964.601863918923</v>
      </c>
      <c r="K107" s="83">
        <f>J107/D107</f>
        <v>0.06907826964612242</v>
      </c>
    </row>
    <row r="108" spans="1:11" ht="12.75">
      <c r="A108" s="338" t="s">
        <v>388</v>
      </c>
      <c r="B108" s="56" t="s">
        <v>106</v>
      </c>
      <c r="C108" s="46" t="s">
        <v>106</v>
      </c>
      <c r="D108" s="40">
        <f>D67</f>
        <v>31182.98826361127</v>
      </c>
      <c r="E108" s="40"/>
      <c r="F108" s="56" t="s">
        <v>106</v>
      </c>
      <c r="G108" s="159"/>
      <c r="H108" s="56" t="s">
        <v>106</v>
      </c>
      <c r="I108" s="72"/>
      <c r="J108" s="46">
        <f>J67+SUM($J$90:$J$91)*D108/SUM($D$103,$D$109)</f>
        <v>1945.4339919933145</v>
      </c>
      <c r="K108" s="83">
        <f>J108/D108</f>
        <v>0.06238767033958457</v>
      </c>
    </row>
    <row r="109" spans="1:11" ht="12.75">
      <c r="A109" s="338" t="s">
        <v>394</v>
      </c>
      <c r="B109" s="56"/>
      <c r="C109" s="46"/>
      <c r="D109" s="40">
        <f>SUM(D106:D108)</f>
        <v>425900.6120825628</v>
      </c>
      <c r="E109" s="40"/>
      <c r="F109" s="56"/>
      <c r="G109" s="159"/>
      <c r="H109" s="56"/>
      <c r="I109" s="72"/>
      <c r="J109" s="46">
        <f>SUM(J106:J108)</f>
        <v>28973.026690090006</v>
      </c>
      <c r="K109" s="83">
        <f>J109/D109</f>
        <v>0.06802767093575683</v>
      </c>
    </row>
    <row r="110" spans="1:11" ht="4.5" customHeight="1">
      <c r="A110" s="21"/>
      <c r="B110" s="56"/>
      <c r="C110" s="46"/>
      <c r="D110" s="40"/>
      <c r="E110" s="40"/>
      <c r="F110" s="56"/>
      <c r="G110" s="159"/>
      <c r="H110" s="56"/>
      <c r="I110" s="72"/>
      <c r="J110" s="46"/>
      <c r="K110" s="83"/>
    </row>
    <row r="111" spans="1:24" ht="12.75">
      <c r="A111" s="82" t="s">
        <v>286</v>
      </c>
      <c r="B111" s="56" t="s">
        <v>106</v>
      </c>
      <c r="C111" s="46" t="s">
        <v>106</v>
      </c>
      <c r="D111" s="40">
        <f>D82</f>
        <v>2132717.698737158</v>
      </c>
      <c r="E111" s="285" t="s">
        <v>241</v>
      </c>
      <c r="F111" s="56"/>
      <c r="G111" s="159"/>
      <c r="H111" s="56"/>
      <c r="I111" s="72"/>
      <c r="J111" s="46">
        <f>SUM(J93:J94)+J82</f>
        <v>54898.21336807021</v>
      </c>
      <c r="K111" s="83">
        <f>J111/D111</f>
        <v>0.025740965811169938</v>
      </c>
      <c r="M111" s="140"/>
      <c r="N111" s="140"/>
      <c r="O111" s="140"/>
      <c r="P111" s="140"/>
      <c r="Q111" s="140"/>
      <c r="R111" s="140"/>
      <c r="S111" s="140"/>
      <c r="T111" s="140"/>
      <c r="U111" s="140"/>
      <c r="V111" s="140"/>
      <c r="W111" s="140"/>
      <c r="X111" s="140"/>
    </row>
    <row r="112" spans="1:11" ht="12.75" hidden="1">
      <c r="A112" s="341"/>
      <c r="B112" s="56"/>
      <c r="C112" s="46"/>
      <c r="D112" s="40"/>
      <c r="E112" s="40"/>
      <c r="F112" s="56"/>
      <c r="G112" s="159"/>
      <c r="H112" s="56"/>
      <c r="I112" s="72"/>
      <c r="J112" s="46"/>
      <c r="K112" s="83"/>
    </row>
    <row r="113" spans="2:11" ht="12.75" hidden="1">
      <c r="B113" s="69"/>
      <c r="C113" s="70"/>
      <c r="D113" s="37"/>
      <c r="E113" s="37"/>
      <c r="F113" s="38"/>
      <c r="G113" s="2"/>
      <c r="H113" s="4"/>
      <c r="I113" s="2"/>
      <c r="J113" s="2"/>
      <c r="K113" s="71"/>
    </row>
    <row r="114" spans="1:10" ht="12.75" hidden="1">
      <c r="A114" s="127" t="s">
        <v>191</v>
      </c>
      <c r="B114" s="339">
        <v>0</v>
      </c>
      <c r="C114" s="339">
        <v>0</v>
      </c>
      <c r="D114" s="339">
        <v>0</v>
      </c>
      <c r="E114" s="128"/>
      <c r="H114" s="126"/>
      <c r="I114" s="127"/>
      <c r="J114" s="339">
        <f>SUM(J103,J109)-J39-J74-SUM(J90:J91)</f>
        <v>0</v>
      </c>
    </row>
    <row r="115" spans="1:10" ht="12.75" hidden="1">
      <c r="A115" s="127"/>
      <c r="B115" s="339">
        <v>0</v>
      </c>
      <c r="C115" s="339">
        <v>0</v>
      </c>
      <c r="D115" s="339">
        <v>0</v>
      </c>
      <c r="E115" s="128"/>
      <c r="H115" s="126"/>
      <c r="I115" s="127"/>
      <c r="J115" s="339">
        <f>J111-J82-J93-J94</f>
        <v>0</v>
      </c>
    </row>
    <row r="116" spans="2:10" ht="12.75" hidden="1">
      <c r="B116" s="339">
        <v>0</v>
      </c>
      <c r="C116" s="339">
        <v>0</v>
      </c>
      <c r="D116" s="339">
        <v>0</v>
      </c>
      <c r="H116" s="127"/>
      <c r="I116" s="127"/>
      <c r="J116" s="339">
        <v>0</v>
      </c>
    </row>
    <row r="117" spans="2:10" ht="12.75" hidden="1">
      <c r="B117" s="339">
        <v>0</v>
      </c>
      <c r="C117" s="339">
        <v>0</v>
      </c>
      <c r="D117" s="339">
        <v>0</v>
      </c>
      <c r="H117" s="342"/>
      <c r="I117" s="342"/>
      <c r="J117" s="339">
        <v>0</v>
      </c>
    </row>
    <row r="118" spans="2:10" ht="12.75" hidden="1">
      <c r="B118" s="339"/>
      <c r="C118" s="339"/>
      <c r="D118" s="339">
        <v>9.313225746154785E-10</v>
      </c>
      <c r="H118" s="342"/>
      <c r="I118" s="342"/>
      <c r="J118" s="339">
        <v>0</v>
      </c>
    </row>
    <row r="119" spans="1:5" ht="12.75">
      <c r="A119" s="141"/>
      <c r="B119" s="290"/>
      <c r="C119" s="291"/>
      <c r="D119" s="282"/>
      <c r="E119" s="37"/>
    </row>
    <row r="120" ht="12.75">
      <c r="A120" s="11" t="s">
        <v>235</v>
      </c>
    </row>
    <row r="121" ht="12.75">
      <c r="A121" s="25" t="s">
        <v>796</v>
      </c>
    </row>
    <row r="122" ht="12.75">
      <c r="A122" s="25" t="s">
        <v>795</v>
      </c>
    </row>
    <row r="123" ht="12.75">
      <c r="A123" s="25" t="s">
        <v>797</v>
      </c>
    </row>
    <row r="124" ht="12.75">
      <c r="A124" s="145" t="s">
        <v>91</v>
      </c>
    </row>
    <row r="125" ht="12.75">
      <c r="A125" s="145" t="s">
        <v>61</v>
      </c>
    </row>
    <row r="126" ht="12.75">
      <c r="A126" s="462" t="s">
        <v>60</v>
      </c>
    </row>
  </sheetData>
  <sheetProtection/>
  <printOptions horizontalCentered="1"/>
  <pageMargins left="0.75" right="0.75" top="1" bottom="1" header="0.5" footer="0.5"/>
  <pageSetup fitToHeight="3" horizontalDpi="600" verticalDpi="600" orientation="landscape" scale="92" r:id="rId3"/>
  <headerFooter alignWithMargins="0">
    <oddFooter>&amp;L&amp;F</oddFooter>
  </headerFooter>
  <rowBreaks count="2" manualBreakCount="2">
    <brk id="41" max="10" man="1"/>
    <brk id="84" max="10" man="1"/>
  </rowBreaks>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N37"/>
  <sheetViews>
    <sheetView zoomScale="70" zoomScaleNormal="70" zoomScalePageLayoutView="0" workbookViewId="0" topLeftCell="A1">
      <selection activeCell="A1" sqref="A1"/>
    </sheetView>
  </sheetViews>
  <sheetFormatPr defaultColWidth="9.140625" defaultRowHeight="12.75"/>
  <cols>
    <col min="1" max="1" width="27.7109375" style="0" bestFit="1" customWidth="1"/>
    <col min="2" max="2" width="11.7109375" style="0" customWidth="1"/>
    <col min="3" max="3" width="2.7109375" style="0" customWidth="1"/>
    <col min="4" max="4" width="10.421875" style="0" customWidth="1"/>
    <col min="5" max="5" width="2.7109375" style="0" customWidth="1"/>
    <col min="6" max="6" width="11.7109375" style="0" customWidth="1"/>
    <col min="7" max="7" width="2.7109375" style="0" customWidth="1"/>
    <col min="8" max="8" width="11.7109375" style="0" customWidth="1"/>
    <col min="9" max="9" width="2.7109375" style="0" customWidth="1"/>
    <col min="10" max="11" width="11.7109375" style="0" customWidth="1"/>
  </cols>
  <sheetData>
    <row r="1" ht="15.75">
      <c r="A1" s="157" t="s">
        <v>20</v>
      </c>
    </row>
    <row r="2" ht="15.75">
      <c r="A2" s="158" t="s">
        <v>787</v>
      </c>
    </row>
    <row r="3" spans="2:11" ht="25.5">
      <c r="B3" s="168" t="s">
        <v>258</v>
      </c>
      <c r="C3" s="168"/>
      <c r="D3" s="183" t="s">
        <v>207</v>
      </c>
      <c r="E3" s="183"/>
      <c r="F3" s="146" t="s">
        <v>217</v>
      </c>
      <c r="G3" s="161"/>
      <c r="H3" s="160" t="s">
        <v>246</v>
      </c>
      <c r="I3" s="159"/>
      <c r="J3" s="42" t="s">
        <v>218</v>
      </c>
      <c r="K3" s="41" t="s">
        <v>133</v>
      </c>
    </row>
    <row r="5" ht="12.75">
      <c r="A5" s="25" t="s">
        <v>274</v>
      </c>
    </row>
    <row r="6" spans="1:11" ht="12.75">
      <c r="A6" s="28" t="s">
        <v>219</v>
      </c>
      <c r="B6" s="6">
        <v>15550.34254264137</v>
      </c>
      <c r="C6" s="6"/>
      <c r="D6" s="22">
        <v>0.04588549519239217</v>
      </c>
      <c r="E6" s="306" t="s">
        <v>236</v>
      </c>
      <c r="F6" s="165">
        <f>B6*D6</f>
        <v>713.535167980422</v>
      </c>
      <c r="H6" s="166">
        <v>1.359485895130023</v>
      </c>
      <c r="J6" s="165">
        <f>H6*F6</f>
        <v>970.0409965486153</v>
      </c>
      <c r="K6" s="22">
        <f>J6/B6</f>
        <v>0.06238068350511363</v>
      </c>
    </row>
    <row r="7" spans="1:11" ht="12.75">
      <c r="A7" s="89" t="s">
        <v>381</v>
      </c>
      <c r="B7" s="6">
        <f>B6</f>
        <v>15550.34254264137</v>
      </c>
      <c r="C7" s="6"/>
      <c r="D7" s="22">
        <v>0.0880247126186619</v>
      </c>
      <c r="E7" s="306" t="s">
        <v>239</v>
      </c>
      <c r="F7" s="165">
        <f>B7*D7</f>
        <v>1368.814433437759</v>
      </c>
      <c r="H7" s="336">
        <v>1.5595101237373266</v>
      </c>
      <c r="J7" s="165">
        <f>H7*F7</f>
        <v>2134.679966463958</v>
      </c>
      <c r="K7" s="22">
        <f>J7/B7</f>
        <v>0.13727543046787205</v>
      </c>
    </row>
    <row r="8" spans="1:11" ht="12.75">
      <c r="A8" s="89" t="s">
        <v>382</v>
      </c>
      <c r="B8" s="6">
        <f>B7</f>
        <v>15550.34254264137</v>
      </c>
      <c r="C8" s="6"/>
      <c r="D8" s="22">
        <v>0.018370322208209812</v>
      </c>
      <c r="E8" s="306" t="s">
        <v>240</v>
      </c>
      <c r="F8" s="165">
        <f>B8*D8</f>
        <v>285.6648029563546</v>
      </c>
      <c r="H8" s="29">
        <v>1.5595101237373266</v>
      </c>
      <c r="J8" s="165">
        <f>H8*F8</f>
        <v>445.4971522058636</v>
      </c>
      <c r="K8" s="22">
        <f>J8/B8</f>
        <v>0.028648703460019843</v>
      </c>
    </row>
    <row r="9" spans="1:11" ht="12.75">
      <c r="A9" s="21" t="s">
        <v>102</v>
      </c>
      <c r="B9" s="6">
        <f>B8</f>
        <v>15550.34254264137</v>
      </c>
      <c r="C9" s="6"/>
      <c r="F9" s="165">
        <f>SUM(F6:F8)</f>
        <v>2368.014404374536</v>
      </c>
      <c r="J9" s="165">
        <f>SUM(J6:J8)</f>
        <v>3550.218115218437</v>
      </c>
      <c r="K9" s="22">
        <f>J9/B9</f>
        <v>0.22830481743300554</v>
      </c>
    </row>
    <row r="11" ht="12.75">
      <c r="A11" s="25" t="s">
        <v>278</v>
      </c>
    </row>
    <row r="12" spans="1:11" ht="12.75">
      <c r="A12" s="28" t="s">
        <v>219</v>
      </c>
      <c r="B12" s="6">
        <v>46876.76006193609</v>
      </c>
      <c r="C12" s="6"/>
      <c r="D12" s="22">
        <v>0.04588549519239217</v>
      </c>
      <c r="E12" s="306" t="s">
        <v>236</v>
      </c>
      <c r="F12" s="165">
        <f>B12*D12</f>
        <v>2150.96334845689</v>
      </c>
      <c r="H12" s="166">
        <v>1.359485895130023</v>
      </c>
      <c r="J12" s="165">
        <f>H12*F12</f>
        <v>2924.2043331687864</v>
      </c>
      <c r="K12" s="22">
        <f>J12/B12</f>
        <v>0.06238068350511364</v>
      </c>
    </row>
    <row r="13" spans="1:11" ht="12.75">
      <c r="A13" s="89" t="s">
        <v>381</v>
      </c>
      <c r="B13" s="6">
        <f>B12</f>
        <v>46876.76006193609</v>
      </c>
      <c r="C13" s="6"/>
      <c r="D13" s="22">
        <v>0.0880247126186619</v>
      </c>
      <c r="E13" s="306" t="s">
        <v>239</v>
      </c>
      <c r="F13" s="165">
        <f>B13*D13</f>
        <v>4126.313332945892</v>
      </c>
      <c r="H13" s="336">
        <v>1.5595101237373266</v>
      </c>
      <c r="J13" s="165">
        <f>H13*F13</f>
        <v>6435.027416441429</v>
      </c>
      <c r="K13" s="22">
        <f>J13/B13</f>
        <v>0.13727543046787205</v>
      </c>
    </row>
    <row r="14" spans="1:11" ht="12.75">
      <c r="A14" s="89" t="s">
        <v>382</v>
      </c>
      <c r="B14" s="6">
        <f>B13</f>
        <v>46876.76006193609</v>
      </c>
      <c r="C14" s="6"/>
      <c r="D14" s="22">
        <v>0.018370322208209812</v>
      </c>
      <c r="E14" s="306" t="s">
        <v>240</v>
      </c>
      <c r="F14" s="165">
        <f>B14*D14</f>
        <v>861.1411864147072</v>
      </c>
      <c r="H14" s="29">
        <v>1.5595101237373266</v>
      </c>
      <c r="J14" s="165">
        <f>H14*F14</f>
        <v>1342.9583981809083</v>
      </c>
      <c r="K14" s="22">
        <f>J14/B14</f>
        <v>0.02864870346001984</v>
      </c>
    </row>
    <row r="15" spans="1:11" ht="12.75">
      <c r="A15" s="21" t="s">
        <v>102</v>
      </c>
      <c r="B15" s="6">
        <f>B14</f>
        <v>46876.76006193609</v>
      </c>
      <c r="C15" s="6"/>
      <c r="F15" s="165">
        <f>SUM(F12:F14)</f>
        <v>7138.417867817489</v>
      </c>
      <c r="J15" s="165">
        <f>SUM(J12:J14)</f>
        <v>10702.190147791123</v>
      </c>
      <c r="K15" s="22">
        <f>J15/B15</f>
        <v>0.2283048174330055</v>
      </c>
    </row>
    <row r="17" spans="1:14" ht="12.75">
      <c r="A17" s="47" t="s">
        <v>279</v>
      </c>
      <c r="N17" s="12"/>
    </row>
    <row r="18" spans="1:11" ht="12.75">
      <c r="A18" s="28" t="s">
        <v>219</v>
      </c>
      <c r="B18" s="6">
        <v>6641.81184615314</v>
      </c>
      <c r="C18" s="6"/>
      <c r="D18" s="22">
        <v>0.04596809400554285</v>
      </c>
      <c r="E18" s="306" t="s">
        <v>236</v>
      </c>
      <c r="F18" s="165">
        <f>B18*D18</f>
        <v>305.31143131109565</v>
      </c>
      <c r="H18" s="166">
        <v>1.359485895130023</v>
      </c>
      <c r="J18" s="165">
        <f>H18*F18</f>
        <v>415.0665844893934</v>
      </c>
      <c r="K18" s="22">
        <f>J18/B18</f>
        <v>0.062492975426546464</v>
      </c>
    </row>
    <row r="19" spans="1:14" ht="12.75">
      <c r="A19" s="89" t="s">
        <v>381</v>
      </c>
      <c r="B19" s="6">
        <f>B18</f>
        <v>6641.81184615314</v>
      </c>
      <c r="C19" s="6"/>
      <c r="D19" s="22">
        <v>0.09241071825692895</v>
      </c>
      <c r="E19" s="306" t="s">
        <v>239</v>
      </c>
      <c r="F19" s="165">
        <f>B19*D19</f>
        <v>613.774603230391</v>
      </c>
      <c r="H19" s="336">
        <v>1.5595101237373266</v>
      </c>
      <c r="J19" s="165">
        <f>H19*F19</f>
        <v>957.1877074306556</v>
      </c>
      <c r="K19" s="22">
        <f>J19/B19</f>
        <v>0.1441154506635185</v>
      </c>
      <c r="N19" s="13"/>
    </row>
    <row r="20" spans="1:11" ht="12.75">
      <c r="A20" s="89" t="s">
        <v>382</v>
      </c>
      <c r="B20" s="6">
        <f>B19</f>
        <v>6641.81184615314</v>
      </c>
      <c r="C20" s="6"/>
      <c r="D20" s="22">
        <v>0.018370322208209805</v>
      </c>
      <c r="E20" s="306" t="s">
        <v>240</v>
      </c>
      <c r="F20" s="165">
        <f>B20*D20</f>
        <v>122.012223660138</v>
      </c>
      <c r="H20" s="29">
        <v>1.5595101237373266</v>
      </c>
      <c r="J20" s="165">
        <f>H20*F20</f>
        <v>190.27929801768818</v>
      </c>
      <c r="K20" s="22">
        <f>J20/B20</f>
        <v>0.028648703460019832</v>
      </c>
    </row>
    <row r="21" spans="1:11" ht="12.75">
      <c r="A21" s="21" t="s">
        <v>102</v>
      </c>
      <c r="B21" s="6">
        <f>B20</f>
        <v>6641.81184615314</v>
      </c>
      <c r="C21" s="6"/>
      <c r="F21" s="165">
        <f>SUM(F18:F20)</f>
        <v>1041.0982582016247</v>
      </c>
      <c r="J21" s="165">
        <f>SUM(J18:J20)</f>
        <v>1562.5335899377371</v>
      </c>
      <c r="K21" s="22">
        <f>J21/B21</f>
        <v>0.2352571295500848</v>
      </c>
    </row>
    <row r="23" ht="12.75">
      <c r="A23" s="47" t="s">
        <v>220</v>
      </c>
    </row>
    <row r="24" spans="1:11" ht="12.75">
      <c r="A24" s="28" t="s">
        <v>219</v>
      </c>
      <c r="B24" s="6">
        <f>B6+B12+B18</f>
        <v>69068.9144507306</v>
      </c>
      <c r="C24" s="6"/>
      <c r="D24" s="22">
        <f>F24/B24</f>
        <v>0.045893438067707716</v>
      </c>
      <c r="E24" s="22"/>
      <c r="F24" s="165">
        <f>F6+F12+F18</f>
        <v>3169.8099477484075</v>
      </c>
      <c r="J24" s="165">
        <f>J6+J12+J18</f>
        <v>4309.311914206795</v>
      </c>
      <c r="K24" s="22">
        <f>J24/B24</f>
        <v>0.0623914817320719</v>
      </c>
    </row>
    <row r="25" spans="1:11" ht="12.75">
      <c r="A25" s="89" t="s">
        <v>381</v>
      </c>
      <c r="B25" s="6">
        <f>B7+B13+B19</f>
        <v>69068.9144507306</v>
      </c>
      <c r="C25" s="6"/>
      <c r="D25" s="22">
        <f>F25/B25</f>
        <v>0.088446480130678</v>
      </c>
      <c r="E25" s="22"/>
      <c r="F25" s="165">
        <f>F7+F13+F19</f>
        <v>6108.902369614043</v>
      </c>
      <c r="J25" s="165">
        <f>J7+J13+J19</f>
        <v>9526.895090336042</v>
      </c>
      <c r="K25" s="22">
        <f>J25/B25</f>
        <v>0.13793318117272463</v>
      </c>
    </row>
    <row r="26" spans="1:11" ht="12.75">
      <c r="A26" s="89" t="s">
        <v>382</v>
      </c>
      <c r="B26" s="6">
        <f>B8+B14+B20</f>
        <v>69068.9144507306</v>
      </c>
      <c r="C26" s="6"/>
      <c r="D26" s="22">
        <f>F26/B26</f>
        <v>0.018370322208209812</v>
      </c>
      <c r="E26" s="22"/>
      <c r="F26" s="165">
        <f>F8+F14+F20</f>
        <v>1268.8182130312</v>
      </c>
      <c r="J26" s="165">
        <f>J8+J14+J20</f>
        <v>1978.73484840446</v>
      </c>
      <c r="K26" s="22">
        <f>J26/B26</f>
        <v>0.02864870346001984</v>
      </c>
    </row>
    <row r="27" spans="1:11" ht="12.75">
      <c r="A27" s="21" t="s">
        <v>102</v>
      </c>
      <c r="B27" s="6">
        <f>B9+B15+B21</f>
        <v>69068.9144507306</v>
      </c>
      <c r="C27" s="6"/>
      <c r="D27" s="22">
        <f>F27/B27</f>
        <v>0.1527102404065955</v>
      </c>
      <c r="E27" s="22"/>
      <c r="F27" s="165">
        <f>F9+F15+F21</f>
        <v>10547.53053039365</v>
      </c>
      <c r="J27" s="165">
        <f>J9+J15+J21</f>
        <v>15814.941852947297</v>
      </c>
      <c r="K27" s="22">
        <f>J27/B27</f>
        <v>0.22897336636481636</v>
      </c>
    </row>
    <row r="28" spans="1:11" ht="12.75" hidden="1">
      <c r="A28" s="21"/>
      <c r="B28" s="6"/>
      <c r="C28" s="6"/>
      <c r="D28" s="22"/>
      <c r="E28" s="22"/>
      <c r="F28" s="165"/>
      <c r="J28" s="165"/>
      <c r="K28" s="22"/>
    </row>
    <row r="29" spans="1:11" ht="12.75" hidden="1">
      <c r="A29" s="21" t="s">
        <v>191</v>
      </c>
      <c r="B29" s="133">
        <v>0</v>
      </c>
      <c r="C29" s="6"/>
      <c r="D29" s="22"/>
      <c r="E29" s="22"/>
      <c r="F29" s="165"/>
      <c r="J29" s="133">
        <v>0</v>
      </c>
      <c r="K29" s="22"/>
    </row>
    <row r="30" spans="1:11" ht="12.75" hidden="1">
      <c r="A30" s="21"/>
      <c r="B30" s="133">
        <v>0</v>
      </c>
      <c r="C30" s="6"/>
      <c r="D30" s="22"/>
      <c r="E30" s="22"/>
      <c r="F30" s="165"/>
      <c r="J30" s="133">
        <v>0</v>
      </c>
      <c r="K30" s="22"/>
    </row>
    <row r="31" spans="1:11" ht="12.75" hidden="1">
      <c r="A31" s="21"/>
      <c r="B31" s="133">
        <v>0</v>
      </c>
      <c r="C31" s="6"/>
      <c r="D31" s="22"/>
      <c r="E31" s="22"/>
      <c r="F31" s="165"/>
      <c r="J31" s="133">
        <v>0</v>
      </c>
      <c r="K31" s="22"/>
    </row>
    <row r="32" spans="1:6" ht="12.75">
      <c r="A32" s="283"/>
      <c r="B32" s="283"/>
      <c r="C32" s="283"/>
      <c r="D32" s="283"/>
      <c r="E32" s="283"/>
      <c r="F32" s="283"/>
    </row>
    <row r="33" spans="1:11" ht="12.75">
      <c r="A33" s="47" t="s">
        <v>235</v>
      </c>
      <c r="K33" s="22"/>
    </row>
    <row r="34" ht="12.75">
      <c r="A34" s="25" t="s">
        <v>796</v>
      </c>
    </row>
    <row r="35" ht="12.75">
      <c r="A35" s="25" t="s">
        <v>795</v>
      </c>
    </row>
    <row r="36" ht="12.75">
      <c r="A36" s="12" t="s">
        <v>798</v>
      </c>
    </row>
    <row r="37" ht="12.75">
      <c r="A37" s="12" t="s">
        <v>799</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S93"/>
  <sheetViews>
    <sheetView zoomScale="70" zoomScaleNormal="70" zoomScalePageLayoutView="0" workbookViewId="0" topLeftCell="A1">
      <selection activeCell="A1" sqref="A1"/>
    </sheetView>
  </sheetViews>
  <sheetFormatPr defaultColWidth="9.140625" defaultRowHeight="12.75"/>
  <cols>
    <col min="1" max="1" width="25.8515625" style="11" customWidth="1"/>
    <col min="2" max="5" width="12.7109375" style="11" customWidth="1"/>
    <col min="6" max="6" width="2.7109375" style="11" customWidth="1"/>
    <col min="7" max="7" width="12.7109375" style="11" customWidth="1"/>
    <col min="8" max="8" width="2.7109375" style="11" customWidth="1"/>
    <col min="9" max="10" width="12.7109375" style="11" customWidth="1"/>
    <col min="11" max="16384" width="9.140625" style="11" customWidth="1"/>
  </cols>
  <sheetData>
    <row r="1" ht="15.75">
      <c r="A1" s="158" t="s">
        <v>558</v>
      </c>
    </row>
    <row r="2" spans="1:7" ht="15.75">
      <c r="A2" s="158" t="s">
        <v>787</v>
      </c>
      <c r="B2" s="36"/>
      <c r="C2" s="36"/>
      <c r="D2" s="36"/>
      <c r="E2" s="36"/>
      <c r="F2" s="36"/>
      <c r="G2" s="36"/>
    </row>
    <row r="3" spans="1:10" s="4" customFormat="1" ht="25.5">
      <c r="A3" s="11"/>
      <c r="B3" s="189" t="s">
        <v>248</v>
      </c>
      <c r="C3" s="189" t="s">
        <v>249</v>
      </c>
      <c r="D3" s="168" t="s">
        <v>250</v>
      </c>
      <c r="E3" s="169" t="s">
        <v>207</v>
      </c>
      <c r="F3" s="23"/>
      <c r="G3" s="160" t="s">
        <v>246</v>
      </c>
      <c r="H3" s="159"/>
      <c r="I3" s="160" t="s">
        <v>218</v>
      </c>
      <c r="J3" s="41" t="s">
        <v>133</v>
      </c>
    </row>
    <row r="4" spans="2:10" ht="12.75">
      <c r="B4" s="48"/>
      <c r="C4" s="48"/>
      <c r="D4" s="48"/>
      <c r="E4" s="48"/>
      <c r="F4" s="48"/>
      <c r="G4" s="23"/>
      <c r="H4" s="23"/>
      <c r="I4" s="196"/>
      <c r="J4" s="48"/>
    </row>
    <row r="5" ht="12.75">
      <c r="A5" s="49" t="s">
        <v>439</v>
      </c>
    </row>
    <row r="6" spans="1:10" ht="12.75">
      <c r="A6" s="81" t="s">
        <v>483</v>
      </c>
      <c r="B6" s="44">
        <v>29.028582444583677</v>
      </c>
      <c r="C6" s="46">
        <v>1268.4489243433088</v>
      </c>
      <c r="D6" s="53">
        <v>308372.064</v>
      </c>
      <c r="E6" s="83">
        <f aca="true" t="shared" si="0" ref="E6:E12">IF(ISERROR(C6/D6),"n/a",C6/D6)</f>
        <v>0.004113371710426106</v>
      </c>
      <c r="G6" s="54">
        <v>1.4666301987498853</v>
      </c>
      <c r="I6" s="42">
        <f aca="true" t="shared" si="1" ref="I6:I11">C6*G6</f>
        <v>1860.3454980137053</v>
      </c>
      <c r="J6" s="92">
        <f aca="true" t="shared" si="2" ref="J6:J12">IF(ISERROR(I6/D6),"n/a",I6/D6)</f>
        <v>0.006032795169194396</v>
      </c>
    </row>
    <row r="7" spans="1:10" ht="12.75">
      <c r="A7" s="81" t="s">
        <v>484</v>
      </c>
      <c r="B7" s="44">
        <v>8.128133169443535</v>
      </c>
      <c r="C7" s="46">
        <v>355.1713830801802</v>
      </c>
      <c r="D7" s="53">
        <v>86345.55981895147</v>
      </c>
      <c r="E7" s="83">
        <f t="shared" si="0"/>
        <v>0.004113371710426107</v>
      </c>
      <c r="G7" s="54">
        <v>1.4666301987498853</v>
      </c>
      <c r="I7" s="42">
        <f t="shared" si="1"/>
        <v>520.9050761571564</v>
      </c>
      <c r="J7" s="92">
        <f t="shared" si="2"/>
        <v>0.006032795169194399</v>
      </c>
    </row>
    <row r="8" spans="1:10" ht="12.75">
      <c r="A8" s="81" t="s">
        <v>485</v>
      </c>
      <c r="B8" s="44">
        <v>2.9354083957447097</v>
      </c>
      <c r="C8" s="46">
        <v>128.2672217700879</v>
      </c>
      <c r="D8" s="53">
        <v>31182.988263611267</v>
      </c>
      <c r="E8" s="83">
        <f t="shared" si="0"/>
        <v>0.004113371710426107</v>
      </c>
      <c r="G8" s="54">
        <v>1.4666301987498853</v>
      </c>
      <c r="I8" s="42">
        <f t="shared" si="1"/>
        <v>188.12058095775964</v>
      </c>
      <c r="J8" s="92">
        <f t="shared" si="2"/>
        <v>0.006032795169194398</v>
      </c>
    </row>
    <row r="9" spans="1:19" ht="12.75">
      <c r="A9" s="81" t="s">
        <v>486</v>
      </c>
      <c r="B9" s="44">
        <v>110.79918185964466</v>
      </c>
      <c r="C9" s="46">
        <v>4841.542066902004</v>
      </c>
      <c r="D9" s="53">
        <v>985150.827907062</v>
      </c>
      <c r="E9" s="83">
        <f t="shared" si="0"/>
        <v>0.004914518599337512</v>
      </c>
      <c r="G9" s="54">
        <v>1.4666301987498853</v>
      </c>
      <c r="I9" s="42">
        <f t="shared" si="1"/>
        <v>7100.751803836417</v>
      </c>
      <c r="J9" s="92">
        <f t="shared" si="2"/>
        <v>0.007207781390106382</v>
      </c>
      <c r="N9" s="140"/>
      <c r="O9" s="140"/>
      <c r="P9" s="140"/>
      <c r="Q9" s="140"/>
      <c r="R9" s="140"/>
      <c r="S9" s="140"/>
    </row>
    <row r="10" spans="1:10" ht="12.75">
      <c r="A10" s="81" t="s">
        <v>440</v>
      </c>
      <c r="B10" s="44">
        <v>8.943754470140927</v>
      </c>
      <c r="C10" s="46">
        <v>390.8112205926087</v>
      </c>
      <c r="D10" s="53">
        <v>95009.9451508418</v>
      </c>
      <c r="E10" s="83">
        <f t="shared" si="0"/>
        <v>0.004113371710426107</v>
      </c>
      <c r="G10" s="54">
        <v>1.4666301987498853</v>
      </c>
      <c r="I10" s="42">
        <f t="shared" si="1"/>
        <v>573.175538131423</v>
      </c>
      <c r="J10" s="92">
        <f t="shared" si="2"/>
        <v>0.006032795169194396</v>
      </c>
    </row>
    <row r="11" spans="1:10" ht="12.75">
      <c r="A11" s="81" t="s">
        <v>441</v>
      </c>
      <c r="B11" s="44">
        <v>16.019530616867904</v>
      </c>
      <c r="C11" s="46">
        <v>699.9982316822437</v>
      </c>
      <c r="D11" s="53">
        <v>170176.26437892005</v>
      </c>
      <c r="E11" s="83">
        <f t="shared" si="0"/>
        <v>0.004113371710426107</v>
      </c>
      <c r="G11" s="54">
        <v>1.4666301987498853</v>
      </c>
      <c r="I11" s="42">
        <f t="shared" si="1"/>
        <v>1026.6385456566975</v>
      </c>
      <c r="J11" s="92">
        <f t="shared" si="2"/>
        <v>0.006032795169194398</v>
      </c>
    </row>
    <row r="12" spans="1:10" ht="12.75">
      <c r="A12" s="81" t="s">
        <v>444</v>
      </c>
      <c r="B12" s="44">
        <f>SUM(B6:B11)</f>
        <v>175.85459095642543</v>
      </c>
      <c r="C12" s="46">
        <f>SUM(C6:C11)</f>
        <v>7684.239048370433</v>
      </c>
      <c r="D12" s="53">
        <f>SUM(D6:D11)</f>
        <v>1676237.6495193865</v>
      </c>
      <c r="E12" s="83">
        <f t="shared" si="0"/>
        <v>0.004584218145066525</v>
      </c>
      <c r="I12" s="52">
        <f>SUM(I6:I11)</f>
        <v>11269.93704275316</v>
      </c>
      <c r="J12" s="92">
        <f t="shared" si="2"/>
        <v>0.006723352769211748</v>
      </c>
    </row>
    <row r="13" spans="2:4" ht="12.75">
      <c r="B13" s="44"/>
      <c r="C13" s="46"/>
      <c r="D13" s="53"/>
    </row>
    <row r="14" spans="1:4" ht="12.75">
      <c r="A14" s="49" t="s">
        <v>442</v>
      </c>
      <c r="B14" s="44"/>
      <c r="C14" s="46"/>
      <c r="D14" s="53"/>
    </row>
    <row r="15" spans="1:10" ht="12.75">
      <c r="A15" s="81" t="s">
        <v>276</v>
      </c>
      <c r="B15" s="44">
        <v>69.09405526157721</v>
      </c>
      <c r="C15" s="46">
        <v>3019.1718883406093</v>
      </c>
      <c r="D15" s="53">
        <v>48398.468974467425</v>
      </c>
      <c r="E15" s="83">
        <f aca="true" t="shared" si="3" ref="E15:E21">IF(ISERROR(C15/D15),"n/a",C15/D15)</f>
        <v>0.0623815577706264</v>
      </c>
      <c r="G15" s="54">
        <v>1.4666301987498853</v>
      </c>
      <c r="I15" s="42">
        <f aca="true" t="shared" si="4" ref="I15:I20">C15*G15</f>
        <v>4428.008666657054</v>
      </c>
      <c r="J15" s="92">
        <f aca="true" t="shared" si="5" ref="J15:J21">IF(ISERROR(I15/D15),"n/a",I15/D15)</f>
        <v>0.09149067647146125</v>
      </c>
    </row>
    <row r="16" spans="1:10" ht="12.75">
      <c r="A16" s="81" t="s">
        <v>280</v>
      </c>
      <c r="B16" s="44">
        <v>40.858344661625246</v>
      </c>
      <c r="C16" s="46">
        <v>1785.3687287495102</v>
      </c>
      <c r="D16" s="53">
        <v>21922.836251322635</v>
      </c>
      <c r="E16" s="83">
        <f t="shared" si="3"/>
        <v>0.08143876587327045</v>
      </c>
      <c r="G16" s="54">
        <v>1.4666301987498853</v>
      </c>
      <c r="I16" s="42">
        <f t="shared" si="4"/>
        <v>2618.475693487724</v>
      </c>
      <c r="J16" s="92">
        <f t="shared" si="5"/>
        <v>0.11944055337866002</v>
      </c>
    </row>
    <row r="17" spans="1:10" ht="12.75">
      <c r="A17" s="81" t="s">
        <v>440</v>
      </c>
      <c r="B17" s="44">
        <v>0</v>
      </c>
      <c r="C17" s="46">
        <v>0</v>
      </c>
      <c r="D17" s="53">
        <v>0</v>
      </c>
      <c r="E17" s="83" t="str">
        <f t="shared" si="3"/>
        <v>n/a</v>
      </c>
      <c r="G17" s="54">
        <v>1.4666301987498853</v>
      </c>
      <c r="I17" s="42">
        <f t="shared" si="4"/>
        <v>0</v>
      </c>
      <c r="J17" s="92" t="str">
        <f t="shared" si="5"/>
        <v>n/a</v>
      </c>
    </row>
    <row r="18" spans="1:10" ht="12.75">
      <c r="A18" s="81" t="s">
        <v>441</v>
      </c>
      <c r="B18" s="44">
        <v>0</v>
      </c>
      <c r="C18" s="46">
        <v>0</v>
      </c>
      <c r="D18" s="53">
        <v>0</v>
      </c>
      <c r="E18" s="83" t="str">
        <f t="shared" si="3"/>
        <v>n/a</v>
      </c>
      <c r="G18" s="54">
        <v>1.4666301987498853</v>
      </c>
      <c r="I18" s="42">
        <f t="shared" si="4"/>
        <v>0</v>
      </c>
      <c r="J18" s="92" t="str">
        <f t="shared" si="5"/>
        <v>n/a</v>
      </c>
    </row>
    <row r="19" spans="1:10" ht="12.75">
      <c r="A19" s="81" t="s">
        <v>443</v>
      </c>
      <c r="B19" s="44">
        <v>0.26784139571030813</v>
      </c>
      <c r="C19" s="46">
        <v>11.703745125409734</v>
      </c>
      <c r="D19" s="53">
        <v>429.4624114354376</v>
      </c>
      <c r="E19" s="83">
        <f t="shared" si="3"/>
        <v>0.027252082635802907</v>
      </c>
      <c r="G19" s="54">
        <v>1.4666301987498853</v>
      </c>
      <c r="I19" s="42">
        <f t="shared" si="4"/>
        <v>17.16506603939768</v>
      </c>
      <c r="J19" s="92">
        <f t="shared" si="5"/>
        <v>0.03996872737249592</v>
      </c>
    </row>
    <row r="20" spans="1:10" ht="12.75">
      <c r="A20" s="81" t="s">
        <v>230</v>
      </c>
      <c r="B20" s="44">
        <v>594.3388771901366</v>
      </c>
      <c r="C20" s="46">
        <v>24033.04344138668</v>
      </c>
      <c r="D20" s="53">
        <v>2350780.4522104776</v>
      </c>
      <c r="E20" s="83">
        <f t="shared" si="3"/>
        <v>0.010223431719788215</v>
      </c>
      <c r="G20" s="54">
        <v>1.4666301987498853</v>
      </c>
      <c r="I20" s="42">
        <f t="shared" si="4"/>
        <v>35247.58727900557</v>
      </c>
      <c r="J20" s="92">
        <f t="shared" si="5"/>
        <v>0.014993993695098871</v>
      </c>
    </row>
    <row r="21" spans="1:10" ht="12.75">
      <c r="A21" s="81" t="s">
        <v>445</v>
      </c>
      <c r="B21" s="44">
        <f>SUM(B15:B20)</f>
        <v>704.5591185090493</v>
      </c>
      <c r="C21" s="46">
        <f>SUM(C15:C20)</f>
        <v>28849.28780360221</v>
      </c>
      <c r="D21" s="53">
        <f>SUM(D15:D20)</f>
        <v>2421531.219847703</v>
      </c>
      <c r="E21" s="83">
        <f t="shared" si="3"/>
        <v>0.011913655115054277</v>
      </c>
      <c r="I21" s="52">
        <f>SUM(I15:I20)</f>
        <v>42311.236705189745</v>
      </c>
      <c r="J21" s="92">
        <f t="shared" si="5"/>
        <v>0.01747292636922964</v>
      </c>
    </row>
    <row r="22" spans="2:4" ht="12.75">
      <c r="B22" s="44"/>
      <c r="C22" s="46"/>
      <c r="D22" s="53"/>
    </row>
    <row r="23" spans="1:4" ht="12.75">
      <c r="A23" s="15" t="s">
        <v>446</v>
      </c>
      <c r="B23" s="44"/>
      <c r="C23" s="46"/>
      <c r="D23" s="53"/>
    </row>
    <row r="24" spans="1:10" ht="12.75">
      <c r="A24" s="81" t="s">
        <v>276</v>
      </c>
      <c r="B24" s="44">
        <v>12.791110617077818</v>
      </c>
      <c r="C24" s="46">
        <v>915.363896891771</v>
      </c>
      <c r="D24" s="53">
        <v>4143.640482551246</v>
      </c>
      <c r="E24" s="83">
        <f aca="true" t="shared" si="6" ref="E24:E30">IF(ISERROR(C24/D24),"n/a",C24/D24)</f>
        <v>0.22090813639511986</v>
      </c>
      <c r="G24" s="54">
        <v>1.4666301987498853</v>
      </c>
      <c r="I24" s="42">
        <f aca="true" t="shared" si="7" ref="I24:I29">C24*G24</f>
        <v>1342.5003340268477</v>
      </c>
      <c r="J24" s="92">
        <f aca="true" t="shared" si="8" ref="J24:J30">IF(ISERROR(I24/D24),"n/a",I24/D24)</f>
        <v>0.3239905439866414</v>
      </c>
    </row>
    <row r="25" spans="1:10" ht="12.75">
      <c r="A25" s="81" t="s">
        <v>280</v>
      </c>
      <c r="B25" s="44">
        <v>194.33001764944044</v>
      </c>
      <c r="C25" s="46">
        <v>13672.57756093505</v>
      </c>
      <c r="D25" s="53">
        <v>44077.88623324214</v>
      </c>
      <c r="E25" s="83">
        <f t="shared" si="6"/>
        <v>0.31019131653875964</v>
      </c>
      <c r="G25" s="54">
        <v>1.4666301987498853</v>
      </c>
      <c r="I25" s="42">
        <f t="shared" si="7"/>
        <v>20052.615145617394</v>
      </c>
      <c r="J25" s="92">
        <f t="shared" si="8"/>
        <v>0.45493595222572963</v>
      </c>
    </row>
    <row r="26" spans="1:10" ht="12.75">
      <c r="A26" s="81" t="s">
        <v>440</v>
      </c>
      <c r="B26" s="44">
        <v>21.926819914251734</v>
      </c>
      <c r="C26" s="46">
        <v>1211.4446495007185</v>
      </c>
      <c r="D26" s="53">
        <v>4284.267430090634</v>
      </c>
      <c r="E26" s="83">
        <f t="shared" si="6"/>
        <v>0.2827658798776458</v>
      </c>
      <c r="G26" s="54">
        <v>1.4666301987498853</v>
      </c>
      <c r="I26" s="42">
        <f t="shared" si="7"/>
        <v>1776.741307071724</v>
      </c>
      <c r="J26" s="92">
        <f t="shared" si="8"/>
        <v>0.41471297860463785</v>
      </c>
    </row>
    <row r="27" spans="1:10" ht="12.75">
      <c r="A27" s="81" t="s">
        <v>441</v>
      </c>
      <c r="B27" s="44">
        <v>189.5028996634985</v>
      </c>
      <c r="C27" s="46">
        <v>13627.528157362432</v>
      </c>
      <c r="D27" s="53">
        <v>59707.069792576396</v>
      </c>
      <c r="E27" s="83">
        <f t="shared" si="6"/>
        <v>0.22823977469845277</v>
      </c>
      <c r="G27" s="54">
        <v>1.4666301987498853</v>
      </c>
      <c r="I27" s="42">
        <f t="shared" si="7"/>
        <v>19986.544329902124</v>
      </c>
      <c r="J27" s="92">
        <f t="shared" si="8"/>
        <v>0.3347433461286209</v>
      </c>
    </row>
    <row r="28" spans="1:10" ht="12.75">
      <c r="A28" s="81" t="s">
        <v>443</v>
      </c>
      <c r="B28" s="44">
        <v>1.0012467278716988</v>
      </c>
      <c r="C28" s="46">
        <v>79.89072745874147</v>
      </c>
      <c r="D28" s="53">
        <v>713.5198352132215</v>
      </c>
      <c r="E28" s="83">
        <f t="shared" si="6"/>
        <v>0.11196707297543827</v>
      </c>
      <c r="G28" s="54">
        <v>1.4666301987498853</v>
      </c>
      <c r="I28" s="42">
        <f t="shared" si="7"/>
        <v>117.17015349108692</v>
      </c>
      <c r="J28" s="92">
        <f t="shared" si="8"/>
        <v>0.16421429049140995</v>
      </c>
    </row>
    <row r="29" spans="1:10" ht="12.75">
      <c r="A29" s="81" t="s">
        <v>230</v>
      </c>
      <c r="B29" s="44">
        <v>314.9191151600238</v>
      </c>
      <c r="C29" s="46">
        <v>12734.258292079816</v>
      </c>
      <c r="D29" s="53">
        <v>699770.8698134009</v>
      </c>
      <c r="E29" s="83">
        <f t="shared" si="6"/>
        <v>0.01819775420985372</v>
      </c>
      <c r="G29" s="54">
        <v>1.4666301987498853</v>
      </c>
      <c r="I29" s="42">
        <f t="shared" si="7"/>
        <v>18676.447769845396</v>
      </c>
      <c r="J29" s="92">
        <f t="shared" si="8"/>
        <v>0.026689375873599323</v>
      </c>
    </row>
    <row r="30" spans="1:10" ht="12.75">
      <c r="A30" s="82" t="s">
        <v>447</v>
      </c>
      <c r="B30" s="44">
        <f>SUM(B24:B29)</f>
        <v>734.471209732164</v>
      </c>
      <c r="C30" s="46">
        <f>SUM(C24:C29)</f>
        <v>42241.06328422853</v>
      </c>
      <c r="D30" s="53">
        <f>SUM(D24:D29)</f>
        <v>812697.2535870746</v>
      </c>
      <c r="E30" s="83">
        <f t="shared" si="6"/>
        <v>0.051976382469345585</v>
      </c>
      <c r="I30" s="52">
        <f>SUM(I24:I29)</f>
        <v>61952.01903995457</v>
      </c>
      <c r="J30" s="92">
        <f t="shared" si="8"/>
        <v>0.07623013215131637</v>
      </c>
    </row>
    <row r="31" spans="2:4" ht="12.75">
      <c r="B31" s="44"/>
      <c r="C31" s="46"/>
      <c r="D31" s="53"/>
    </row>
    <row r="32" spans="1:4" ht="12.75">
      <c r="A32" s="49" t="s">
        <v>435</v>
      </c>
      <c r="B32" s="44"/>
      <c r="C32" s="46"/>
      <c r="D32" s="53"/>
    </row>
    <row r="33" spans="1:11" ht="12.75">
      <c r="A33" s="81" t="s">
        <v>280</v>
      </c>
      <c r="B33" s="44">
        <v>92.71628708714888</v>
      </c>
      <c r="C33" s="46">
        <v>4051.381938794706</v>
      </c>
      <c r="D33" s="53">
        <v>50146.17267681284</v>
      </c>
      <c r="E33" s="83">
        <f aca="true" t="shared" si="9" ref="E33:E38">IF(ISERROR(C33/D33),"n/a",C33/D33)</f>
        <v>0.08079144872940681</v>
      </c>
      <c r="G33" s="54">
        <v>1.4666301987498853</v>
      </c>
      <c r="I33" s="42">
        <f>C33*G33</f>
        <v>5941.879098106176</v>
      </c>
      <c r="J33" s="92">
        <f aca="true" t="shared" si="10" ref="J33:J40">IF(ISERROR(I33/D33),"n/a",I33/D33)</f>
        <v>0.1184911785073011</v>
      </c>
      <c r="K33" s="25"/>
    </row>
    <row r="34" spans="1:10" ht="12.75">
      <c r="A34" s="81" t="s">
        <v>440</v>
      </c>
      <c r="B34" s="44">
        <v>0</v>
      </c>
      <c r="C34" s="46">
        <v>0</v>
      </c>
      <c r="D34" s="53">
        <v>0</v>
      </c>
      <c r="E34" s="83" t="str">
        <f t="shared" si="9"/>
        <v>n/a</v>
      </c>
      <c r="G34" s="54">
        <v>1.4666301987498853</v>
      </c>
      <c r="I34" s="42">
        <f>C34*G34</f>
        <v>0</v>
      </c>
      <c r="J34" s="92" t="str">
        <f t="shared" si="10"/>
        <v>n/a</v>
      </c>
    </row>
    <row r="35" spans="1:10" ht="12.75">
      <c r="A35" s="81" t="s">
        <v>441</v>
      </c>
      <c r="B35" s="44">
        <v>0</v>
      </c>
      <c r="C35" s="46">
        <v>0</v>
      </c>
      <c r="D35" s="53">
        <v>0</v>
      </c>
      <c r="E35" s="83" t="str">
        <f t="shared" si="9"/>
        <v>n/a</v>
      </c>
      <c r="G35" s="54">
        <v>1.4666301987498853</v>
      </c>
      <c r="I35" s="42">
        <f>C35*G35</f>
        <v>0</v>
      </c>
      <c r="J35" s="92" t="str">
        <f t="shared" si="10"/>
        <v>n/a</v>
      </c>
    </row>
    <row r="36" spans="1:10" ht="12.75">
      <c r="A36" s="81" t="s">
        <v>443</v>
      </c>
      <c r="B36" s="44">
        <v>0</v>
      </c>
      <c r="C36" s="46">
        <v>0</v>
      </c>
      <c r="D36" s="53">
        <v>0</v>
      </c>
      <c r="E36" s="83" t="str">
        <f t="shared" si="9"/>
        <v>n/a</v>
      </c>
      <c r="G36" s="54">
        <v>1.4666301987498853</v>
      </c>
      <c r="I36" s="42">
        <f>C36*G36</f>
        <v>0</v>
      </c>
      <c r="J36" s="92" t="str">
        <f t="shared" si="10"/>
        <v>n/a</v>
      </c>
    </row>
    <row r="37" spans="1:10" ht="12.75">
      <c r="A37" s="81" t="s">
        <v>230</v>
      </c>
      <c r="B37" s="44">
        <v>7.490633585292393</v>
      </c>
      <c r="C37" s="46">
        <v>302.8957540350344</v>
      </c>
      <c r="D37" s="53">
        <v>29627.600822995384</v>
      </c>
      <c r="E37" s="83">
        <f t="shared" si="9"/>
        <v>0.010223431719788213</v>
      </c>
      <c r="G37" s="54">
        <v>1.4666301987498853</v>
      </c>
      <c r="I37" s="42">
        <f>C37*G37</f>
        <v>444.2360599408988</v>
      </c>
      <c r="J37" s="92">
        <f t="shared" si="10"/>
        <v>0.014993993695098868</v>
      </c>
    </row>
    <row r="38" spans="1:10" ht="12.75">
      <c r="A38" s="82" t="s">
        <v>448</v>
      </c>
      <c r="B38" s="44">
        <f>SUM(B33:B37)</f>
        <v>100.20692067244127</v>
      </c>
      <c r="C38" s="46">
        <f>SUM(C33:C37)</f>
        <v>4354.277692829741</v>
      </c>
      <c r="D38" s="53">
        <f>SUM(D33:D37)</f>
        <v>79773.77349980823</v>
      </c>
      <c r="E38" s="83">
        <f t="shared" si="9"/>
        <v>0.05458282217075024</v>
      </c>
      <c r="I38" s="52">
        <f>SUM(I33:I37)</f>
        <v>6386.115158047074</v>
      </c>
      <c r="J38" s="92">
        <f t="shared" si="10"/>
        <v>0.08005281532861706</v>
      </c>
    </row>
    <row r="39" spans="2:3" ht="12.75">
      <c r="B39" s="44"/>
      <c r="C39" s="46"/>
    </row>
    <row r="40" spans="1:10" ht="12.75">
      <c r="A40" s="49" t="s">
        <v>419</v>
      </c>
      <c r="B40" s="44">
        <f>SUM(B12,B21,B30,B38)</f>
        <v>1715.09183987008</v>
      </c>
      <c r="C40" s="46">
        <f>SUM(C12,C21,C30,C38)</f>
        <v>83128.8678290309</v>
      </c>
      <c r="D40" s="53">
        <f>SUM(D12,D21,D30,D38)</f>
        <v>4990239.896453972</v>
      </c>
      <c r="E40" s="83">
        <f>IF(ISERROR(C40/D40),"n/a",C40/D40)</f>
        <v>0.016658290894612435</v>
      </c>
      <c r="I40" s="46">
        <f>SUM(I12,I21,I30,I38)</f>
        <v>121919.30794594456</v>
      </c>
      <c r="J40" s="92">
        <f t="shared" si="10"/>
        <v>0.024431552485598845</v>
      </c>
    </row>
    <row r="41" ht="12.75" hidden="1"/>
    <row r="42" ht="12.75" hidden="1">
      <c r="D42" s="53"/>
    </row>
    <row r="43" spans="1:10" ht="12.75" hidden="1">
      <c r="A43" s="48" t="s">
        <v>191</v>
      </c>
      <c r="B43" s="138">
        <v>0</v>
      </c>
      <c r="C43" s="138">
        <v>0</v>
      </c>
      <c r="D43" s="138">
        <v>0</v>
      </c>
      <c r="I43" s="138">
        <f>I40/C40-G37</f>
        <v>0</v>
      </c>
      <c r="J43" s="138">
        <f>J40/E40-G37</f>
        <v>0</v>
      </c>
    </row>
    <row r="44" spans="2:4" ht="12.75" hidden="1">
      <c r="B44" s="138">
        <v>0</v>
      </c>
      <c r="C44" s="138">
        <v>0</v>
      </c>
      <c r="D44" s="138">
        <v>0</v>
      </c>
    </row>
    <row r="45" spans="2:4" ht="12.75" hidden="1">
      <c r="B45" s="138">
        <v>0</v>
      </c>
      <c r="C45" s="138">
        <v>0</v>
      </c>
      <c r="D45" s="138">
        <v>0</v>
      </c>
    </row>
    <row r="46" spans="2:4" ht="12.75" hidden="1">
      <c r="B46" s="138">
        <v>0</v>
      </c>
      <c r="C46" s="138">
        <v>0</v>
      </c>
      <c r="D46" s="138">
        <v>0</v>
      </c>
    </row>
    <row r="47" spans="2:4" ht="12.75" hidden="1">
      <c r="B47" s="138">
        <v>0</v>
      </c>
      <c r="C47" s="138">
        <v>0</v>
      </c>
      <c r="D47" s="138">
        <v>0</v>
      </c>
    </row>
    <row r="48" spans="3:4" ht="12.75" hidden="1">
      <c r="C48" s="138">
        <v>-1.546140993013978E-11</v>
      </c>
      <c r="D48" s="138">
        <v>-8.731149137020111E-10</v>
      </c>
    </row>
    <row r="49" spans="1:4" ht="12.75">
      <c r="A49" s="141"/>
      <c r="B49" s="141"/>
      <c r="C49" s="141"/>
      <c r="D49" s="141"/>
    </row>
    <row r="50" ht="12.75">
      <c r="A50" s="11" t="s">
        <v>235</v>
      </c>
    </row>
    <row r="51" spans="1:5" ht="12.75">
      <c r="A51" s="25" t="s">
        <v>800</v>
      </c>
      <c r="E51" s="442"/>
    </row>
    <row r="52" ht="12.75">
      <c r="A52" s="25" t="s">
        <v>795</v>
      </c>
    </row>
    <row r="53" ht="12.75">
      <c r="D53" s="53"/>
    </row>
    <row r="54" ht="12.75">
      <c r="D54" s="53"/>
    </row>
    <row r="55" ht="12.75">
      <c r="D55" s="53"/>
    </row>
    <row r="56" ht="12.75">
      <c r="D56" s="53"/>
    </row>
    <row r="57" ht="12.75">
      <c r="D57" s="53"/>
    </row>
    <row r="58" ht="12.75">
      <c r="D58" s="53"/>
    </row>
    <row r="59" ht="12.75">
      <c r="D59" s="53"/>
    </row>
    <row r="60" ht="12.75">
      <c r="D60" s="53"/>
    </row>
    <row r="61" ht="12.75">
      <c r="D61" s="53"/>
    </row>
    <row r="62" ht="12.75">
      <c r="D62" s="53"/>
    </row>
    <row r="63" ht="12.75">
      <c r="D63" s="53"/>
    </row>
    <row r="64" ht="12.75">
      <c r="D64" s="53"/>
    </row>
    <row r="65" ht="12.75">
      <c r="D65" s="53"/>
    </row>
    <row r="66" ht="12.75">
      <c r="D66" s="53"/>
    </row>
    <row r="67" ht="12.75">
      <c r="D67" s="53"/>
    </row>
    <row r="68" ht="12.75">
      <c r="D68" s="53"/>
    </row>
    <row r="69" ht="12.75">
      <c r="D69" s="53"/>
    </row>
    <row r="70" ht="12.75">
      <c r="D70" s="53"/>
    </row>
    <row r="71" ht="12.75">
      <c r="D71" s="53"/>
    </row>
    <row r="72" ht="12.75">
      <c r="D72" s="53"/>
    </row>
    <row r="73" ht="12.75">
      <c r="D73" s="53"/>
    </row>
    <row r="74" ht="12.75">
      <c r="D74" s="53"/>
    </row>
    <row r="75" ht="12.75">
      <c r="D75" s="53"/>
    </row>
    <row r="76" ht="12.75">
      <c r="D76" s="53"/>
    </row>
    <row r="77" ht="12.75">
      <c r="D77" s="53"/>
    </row>
    <row r="78" ht="12.75">
      <c r="D78" s="53"/>
    </row>
    <row r="79" ht="12.75">
      <c r="D79" s="53"/>
    </row>
    <row r="80" ht="12.75">
      <c r="D80" s="53"/>
    </row>
    <row r="81" ht="12.75">
      <c r="D81" s="53"/>
    </row>
    <row r="82" ht="12.75">
      <c r="D82" s="53"/>
    </row>
    <row r="83" ht="12.75">
      <c r="D83" s="53"/>
    </row>
    <row r="84" ht="12.75">
      <c r="D84" s="53"/>
    </row>
    <row r="85" ht="12.75">
      <c r="D85" s="53"/>
    </row>
    <row r="86" ht="12.75">
      <c r="D86" s="53"/>
    </row>
    <row r="87" ht="12.75">
      <c r="D87" s="53"/>
    </row>
    <row r="88" ht="12.75">
      <c r="D88" s="53"/>
    </row>
    <row r="89" ht="12.75">
      <c r="D89" s="53"/>
    </row>
    <row r="90" ht="12.75">
      <c r="D90" s="53"/>
    </row>
    <row r="91" ht="12.75">
      <c r="D91" s="53"/>
    </row>
    <row r="92" ht="12.75">
      <c r="D92" s="53"/>
    </row>
    <row r="93" ht="12.75">
      <c r="D93" s="53"/>
    </row>
  </sheetData>
  <sheetProtection/>
  <printOptions horizontalCentered="1"/>
  <pageMargins left="0.75" right="0.75" top="1" bottom="1" header="0.5" footer="0.5"/>
  <pageSetup fitToHeight="1" fitToWidth="1" horizontalDpi="600" verticalDpi="600" orientation="landscape" scale="83" r:id="rId3"/>
  <headerFooter alignWithMargins="0">
    <oddFooter>&amp;L&amp;F</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Y85"/>
  <sheetViews>
    <sheetView zoomScale="70" zoomScaleNormal="70" zoomScalePageLayoutView="0" workbookViewId="0" topLeftCell="A1">
      <selection activeCell="A1" sqref="A1"/>
    </sheetView>
  </sheetViews>
  <sheetFormatPr defaultColWidth="9.140625" defaultRowHeight="12.75"/>
  <cols>
    <col min="1" max="1" width="0.85546875" style="0" customWidth="1"/>
    <col min="2" max="2" width="25.140625" style="0" customWidth="1"/>
    <col min="3" max="3" width="14.00390625" style="0" customWidth="1"/>
    <col min="4" max="4" width="16.421875" style="0" customWidth="1"/>
    <col min="5" max="6" width="10.7109375" style="0" customWidth="1"/>
    <col min="7" max="7" width="8.7109375" style="0" customWidth="1"/>
    <col min="8" max="9" width="10.7109375" style="0" customWidth="1"/>
    <col min="10" max="10" width="8.7109375" style="0" customWidth="1"/>
    <col min="11" max="12" width="10.7109375" style="0" customWidth="1"/>
    <col min="13" max="13" width="8.7109375" style="0" customWidth="1"/>
    <col min="16" max="16" width="10.00390625" style="0" bestFit="1" customWidth="1"/>
    <col min="22" max="22" width="10.140625" style="0" bestFit="1" customWidth="1"/>
  </cols>
  <sheetData>
    <row r="1" spans="2:4" ht="15.75">
      <c r="B1" s="158" t="s">
        <v>237</v>
      </c>
      <c r="C1" s="158"/>
      <c r="D1" s="158"/>
    </row>
    <row r="2" ht="16.5" thickBot="1">
      <c r="B2" s="158" t="s">
        <v>787</v>
      </c>
    </row>
    <row r="3" spans="2:13" ht="15.75" customHeight="1">
      <c r="B3" s="373" t="s">
        <v>528</v>
      </c>
      <c r="C3" s="374"/>
      <c r="D3" s="374"/>
      <c r="E3" s="375"/>
      <c r="F3" s="375"/>
      <c r="G3" s="375"/>
      <c r="H3" s="375"/>
      <c r="I3" s="375"/>
      <c r="J3" s="375"/>
      <c r="K3" s="375"/>
      <c r="L3" s="375"/>
      <c r="M3" s="376"/>
    </row>
    <row r="4" spans="2:13" ht="15.75">
      <c r="B4" s="427"/>
      <c r="C4" s="5"/>
      <c r="D4" s="5"/>
      <c r="E4" s="148" t="s">
        <v>348</v>
      </c>
      <c r="F4" s="395"/>
      <c r="G4" s="395"/>
      <c r="H4" s="395"/>
      <c r="I4" s="395"/>
      <c r="J4" s="395"/>
      <c r="K4" s="395"/>
      <c r="L4" s="395"/>
      <c r="M4" s="397"/>
    </row>
    <row r="5" spans="2:13" ht="12.75">
      <c r="B5" s="378"/>
      <c r="C5" s="5"/>
      <c r="D5" s="5"/>
      <c r="E5" s="148" t="s">
        <v>334</v>
      </c>
      <c r="F5" s="395"/>
      <c r="G5" s="396"/>
      <c r="H5" s="148" t="s">
        <v>345</v>
      </c>
      <c r="I5" s="395"/>
      <c r="J5" s="396"/>
      <c r="K5" s="148" t="s">
        <v>346</v>
      </c>
      <c r="L5" s="395"/>
      <c r="M5" s="397"/>
    </row>
    <row r="6" spans="2:13" ht="12.75">
      <c r="B6" s="378"/>
      <c r="C6" s="91"/>
      <c r="D6" s="91"/>
      <c r="E6" s="371" t="s">
        <v>324</v>
      </c>
      <c r="F6" s="392" t="s">
        <v>103</v>
      </c>
      <c r="G6" s="372" t="s">
        <v>329</v>
      </c>
      <c r="H6" s="371" t="s">
        <v>324</v>
      </c>
      <c r="I6" s="392" t="s">
        <v>103</v>
      </c>
      <c r="J6" s="372" t="s">
        <v>329</v>
      </c>
      <c r="K6" s="371" t="s">
        <v>324</v>
      </c>
      <c r="L6" s="392" t="s">
        <v>103</v>
      </c>
      <c r="M6" s="398" t="s">
        <v>329</v>
      </c>
    </row>
    <row r="7" spans="2:13" ht="12.75">
      <c r="B7" s="379" t="s">
        <v>321</v>
      </c>
      <c r="C7" s="283" t="s">
        <v>317</v>
      </c>
      <c r="D7" s="283" t="s">
        <v>267</v>
      </c>
      <c r="E7" s="367" t="s">
        <v>325</v>
      </c>
      <c r="F7" s="366" t="s">
        <v>326</v>
      </c>
      <c r="G7" s="394" t="s">
        <v>324</v>
      </c>
      <c r="H7" s="367" t="s">
        <v>325</v>
      </c>
      <c r="I7" s="366" t="s">
        <v>326</v>
      </c>
      <c r="J7" s="394" t="s">
        <v>324</v>
      </c>
      <c r="K7" s="367" t="s">
        <v>325</v>
      </c>
      <c r="L7" s="366" t="s">
        <v>326</v>
      </c>
      <c r="M7" s="399" t="s">
        <v>324</v>
      </c>
    </row>
    <row r="8" spans="2:25" ht="12.75">
      <c r="B8" s="382" t="s">
        <v>316</v>
      </c>
      <c r="C8" s="327" t="s">
        <v>322</v>
      </c>
      <c r="D8" s="327" t="s">
        <v>331</v>
      </c>
      <c r="E8" s="403">
        <f>SUM('Table 3.3-PARS Fwd Summary'!F13)</f>
        <v>21062.990834177766</v>
      </c>
      <c r="F8" s="361"/>
      <c r="G8" s="247"/>
      <c r="H8" s="403">
        <f>SUM('Table 3.6-PARS RTS Summary'!F21,'Table 3.6-PARS RTS Summary'!F31,'Table 3.6-PARS RTS Summary'!F52)</f>
        <v>80431.67736518379</v>
      </c>
      <c r="I8" s="361"/>
      <c r="J8" s="247"/>
      <c r="K8" s="403">
        <f>SUM('Table 3.9-PARS Wst Summary'!F21,'Table 3.9-PARS Wst Summary'!F39)</f>
        <v>13749.559971562994</v>
      </c>
      <c r="L8" s="361"/>
      <c r="M8" s="390"/>
      <c r="P8" s="485"/>
      <c r="Q8" s="151"/>
      <c r="R8" s="151"/>
      <c r="S8" s="485"/>
      <c r="T8" s="151"/>
      <c r="U8" s="151"/>
      <c r="V8" s="485"/>
      <c r="W8" s="151"/>
      <c r="X8" s="151"/>
      <c r="Y8" s="151"/>
    </row>
    <row r="9" spans="2:25" ht="12.75">
      <c r="B9" s="382" t="s">
        <v>318</v>
      </c>
      <c r="C9" s="327" t="s">
        <v>323</v>
      </c>
      <c r="D9" s="327" t="s">
        <v>347</v>
      </c>
      <c r="E9" s="404">
        <f>SUM('Table 3.3-PARS Fwd Summary'!F14)</f>
        <v>1860.3454980137053</v>
      </c>
      <c r="F9" s="18"/>
      <c r="G9" s="369"/>
      <c r="H9" s="404">
        <f>SUM('Table 3.6-PARS RTS Summary'!F9,'Table 3.6-PARS RTS Summary'!F22,'Table 3.6-PARS RTS Summary'!F32,'Table 3.6-PARS RTS Summary'!F37,'Table 3.6-PARS RTS Summary'!F53)</f>
        <v>14136.711516231173</v>
      </c>
      <c r="I9" s="18"/>
      <c r="J9" s="369"/>
      <c r="K9" s="404">
        <f>SUM('Table 3.9-PARS Wst Summary'!F9,'Table 3.9-PARS Wst Summary'!F22,'Table 3.9-PARS Wst Summary'!F40)</f>
        <v>1658.995186555356</v>
      </c>
      <c r="L9" s="18"/>
      <c r="M9" s="377"/>
      <c r="P9" s="485"/>
      <c r="Q9" s="151"/>
      <c r="R9" s="151"/>
      <c r="S9" s="485"/>
      <c r="T9" s="151"/>
      <c r="U9" s="151"/>
      <c r="V9" s="485"/>
      <c r="W9" s="151"/>
      <c r="X9" s="151"/>
      <c r="Y9" s="151"/>
    </row>
    <row r="10" spans="2:25" ht="12.75" customHeight="1">
      <c r="B10" s="382" t="s">
        <v>319</v>
      </c>
      <c r="C10" s="327" t="s">
        <v>323</v>
      </c>
      <c r="D10" s="327" t="s">
        <v>349</v>
      </c>
      <c r="E10" s="404">
        <f>SUM('Table 3.3-PARS Fwd Summary'!F9,'Table 3.3-PARS Fwd Summary'!F19)</f>
        <v>9410.35821533011</v>
      </c>
      <c r="F10" s="18"/>
      <c r="G10" s="369"/>
      <c r="H10" s="404">
        <f>SUM('Table 3.6-PARS RTS Summary'!F17,'Table 3.6-PARS RTS Summary'!F27,'Table 3.6-PARS RTS Summary'!F48,'Table 3.6-PARS RTS Summary'!F58)</f>
        <v>2906.7539360824667</v>
      </c>
      <c r="I10" s="18"/>
      <c r="J10" s="369"/>
      <c r="K10" s="404">
        <f>SUM('Table 3.9-PARS Wst Summary'!F17,'Table 3.9-PARS Wst Summary'!F27,'Table 3.9-PARS Wst Summary'!F35,'Table 3.9-PARS Wst Summary'!F45)</f>
        <v>485.90378987420326</v>
      </c>
      <c r="L10" s="18"/>
      <c r="M10" s="377"/>
      <c r="P10" s="485"/>
      <c r="Q10" s="151"/>
      <c r="R10" s="151"/>
      <c r="S10" s="485"/>
      <c r="T10" s="151"/>
      <c r="U10" s="151"/>
      <c r="V10" s="485"/>
      <c r="W10" s="151"/>
      <c r="X10" s="151"/>
      <c r="Y10" s="151"/>
    </row>
    <row r="11" spans="2:25" ht="12.75" customHeight="1">
      <c r="B11" s="380" t="s">
        <v>459</v>
      </c>
      <c r="C11" s="327" t="s">
        <v>332</v>
      </c>
      <c r="D11" s="364" t="s">
        <v>531</v>
      </c>
      <c r="E11" s="404">
        <f>SUM('Table 3.3-PARS Fwd Summary'!F5,'Table 3.3-PARS Fwd Summary'!F15)</f>
        <v>38195.48149015158</v>
      </c>
      <c r="F11" s="18"/>
      <c r="G11" s="369"/>
      <c r="H11" s="404">
        <f>SUM('Table 3.6-PARS RTS Summary'!F5,'Table 3.6-PARS RTS Summary'!F13,'Table 3.6-PARS RTS Summary'!F23,'Table 3.6-PARS RTS Summary'!F33,'Table 3.6-PARS RTS Summary'!F44,'Table 3.6-PARS RTS Summary'!F54)</f>
        <v>-8052.079842203488</v>
      </c>
      <c r="I11" s="18"/>
      <c r="J11" s="369"/>
      <c r="K11" s="404">
        <f>SUM('Table 3.9-PARS Wst Summary'!F5,'Table 3.9-PARS Wst Summary'!F13,'Table 3.9-PARS Wst Summary'!F23,'Table 3.9-PARS Wst Summary'!F31,'Table 3.9-PARS Wst Summary'!F41)</f>
        <v>36733.14140242238</v>
      </c>
      <c r="L11" s="18"/>
      <c r="M11" s="377"/>
      <c r="P11" s="485"/>
      <c r="Q11" s="151"/>
      <c r="R11" s="151"/>
      <c r="S11" s="485"/>
      <c r="T11" s="151"/>
      <c r="U11" s="151"/>
      <c r="V11" s="485"/>
      <c r="W11" s="151"/>
      <c r="X11" s="151"/>
      <c r="Y11" s="151"/>
    </row>
    <row r="12" spans="2:25" ht="12.75" customHeight="1">
      <c r="B12" s="380" t="s">
        <v>530</v>
      </c>
      <c r="C12" s="327" t="s">
        <v>323</v>
      </c>
      <c r="D12" s="327" t="s">
        <v>46</v>
      </c>
      <c r="E12" s="404">
        <f>SUM('Table 3.3-PARS Fwd Summary'!F7:F8,'Table 3.3-PARS Fwd Summary'!F17:F18)</f>
        <v>28304.03264838477</v>
      </c>
      <c r="F12" s="18"/>
      <c r="G12" s="369"/>
      <c r="H12" s="404">
        <f>SUM('Table 3.6-PARS RTS Summary'!F7:F8,'Table 3.6-PARS RTS Summary'!F15:F16,'Table 3.6-PARS RTS Summary'!F25:F26,'Table 3.6-PARS RTS Summary'!F35:F36,'Table 3.6-PARS RTS Summary'!F46:F47,'Table 3.6-PARS RTS Summary'!F56:F57)</f>
        <v>3352.177171342437</v>
      </c>
      <c r="I12" s="18"/>
      <c r="J12" s="369"/>
      <c r="K12" s="404">
        <f>SUM('Table 3.9-PARS Wst Summary'!F7:F8,'Table 3.9-PARS Wst Summary'!F15:F16,'Table 3.9-PARS Wst Summary'!F25:F26,'Table 3.9-PARS Wst Summary'!F33:F34,'Table 3.9-PARS Wst Summary'!F43:F44)</f>
        <v>23365.309274630596</v>
      </c>
      <c r="L12" s="18"/>
      <c r="M12" s="377"/>
      <c r="P12" s="485"/>
      <c r="Q12" s="151"/>
      <c r="R12" s="151"/>
      <c r="S12" s="485"/>
      <c r="T12" s="151"/>
      <c r="U12" s="151"/>
      <c r="V12" s="485"/>
      <c r="W12" s="151"/>
      <c r="X12" s="151"/>
      <c r="Y12" s="151"/>
    </row>
    <row r="13" spans="2:25" ht="12.75">
      <c r="B13" s="380" t="s">
        <v>335</v>
      </c>
      <c r="C13" s="327" t="s">
        <v>332</v>
      </c>
      <c r="D13" s="327" t="s">
        <v>330</v>
      </c>
      <c r="E13" s="404">
        <f>'Table 3.3-PARS Fwd Summary'!F23</f>
        <v>58595.68982928295</v>
      </c>
      <c r="F13" s="18"/>
      <c r="G13" s="589"/>
      <c r="H13" s="404">
        <f>'Table 3.6-PARS RTS Summary'!F62</f>
        <v>417529.9774777297</v>
      </c>
      <c r="I13" s="18"/>
      <c r="J13" s="589"/>
      <c r="K13" s="404">
        <v>0</v>
      </c>
      <c r="L13" s="18"/>
      <c r="M13" s="377"/>
      <c r="O13" s="588"/>
      <c r="P13" s="485"/>
      <c r="Q13" s="151"/>
      <c r="R13" s="600"/>
      <c r="S13" s="485"/>
      <c r="T13" s="151"/>
      <c r="U13" s="600"/>
      <c r="V13" s="485"/>
      <c r="W13" s="151"/>
      <c r="X13" s="151"/>
      <c r="Y13" s="151"/>
    </row>
    <row r="14" spans="2:25" ht="12.75">
      <c r="B14" s="383" t="s">
        <v>336</v>
      </c>
      <c r="C14" s="325" t="s">
        <v>322</v>
      </c>
      <c r="D14" s="365" t="s">
        <v>171</v>
      </c>
      <c r="E14" s="405">
        <f>SUM('Table 3.3-PARS Fwd Summary'!F24:F26)</f>
        <v>0</v>
      </c>
      <c r="F14" s="283"/>
      <c r="G14" s="370"/>
      <c r="H14" s="405">
        <f>SUM('Table 3.6-PARS RTS Summary'!F63:F65)</f>
        <v>18006.425913784708</v>
      </c>
      <c r="I14" s="283"/>
      <c r="J14" s="370"/>
      <c r="K14" s="405">
        <v>0</v>
      </c>
      <c r="L14" s="283"/>
      <c r="M14" s="387"/>
      <c r="O14" s="165"/>
      <c r="P14" s="485"/>
      <c r="Q14" s="151"/>
      <c r="R14" s="151"/>
      <c r="S14" s="485"/>
      <c r="T14" s="151"/>
      <c r="U14" s="151"/>
      <c r="V14" s="485"/>
      <c r="W14" s="151"/>
      <c r="X14" s="151"/>
      <c r="Y14" s="151"/>
    </row>
    <row r="15" spans="2:25" ht="13.5" thickBot="1">
      <c r="B15" s="384"/>
      <c r="C15" s="385"/>
      <c r="D15" s="391" t="s">
        <v>277</v>
      </c>
      <c r="E15" s="409">
        <f>SUM(E8:E14)</f>
        <v>157428.8985153409</v>
      </c>
      <c r="F15" s="410">
        <f>'Table 3.3-PARS Fwd Summary'!B29</f>
        <v>881063.04</v>
      </c>
      <c r="G15" s="400">
        <f>E15/F15</f>
        <v>0.1786806293853172</v>
      </c>
      <c r="H15" s="411">
        <f>SUM(H8:H14)</f>
        <v>528311.6435381508</v>
      </c>
      <c r="I15" s="410">
        <f>'Table 3.6-PARS RTS Summary'!B68</f>
        <v>1347209.349</v>
      </c>
      <c r="J15" s="400">
        <f>H15/I15</f>
        <v>0.3921525959794619</v>
      </c>
      <c r="K15" s="411">
        <f>SUM(K8:K14)</f>
        <v>75992.90962504552</v>
      </c>
      <c r="L15" s="410">
        <f>'Table 3.9-PARS Wst Summary'!B48</f>
        <v>863652.8759999999</v>
      </c>
      <c r="M15" s="401">
        <f>K15/L15</f>
        <v>0.0879901077583461</v>
      </c>
      <c r="O15" s="83"/>
      <c r="P15" s="601"/>
      <c r="Q15" s="602"/>
      <c r="R15" s="603"/>
      <c r="S15" s="601"/>
      <c r="T15" s="602"/>
      <c r="U15" s="603"/>
      <c r="V15" s="601"/>
      <c r="W15" s="602"/>
      <c r="X15" s="603"/>
      <c r="Y15" s="484"/>
    </row>
    <row r="16" spans="2:25" ht="4.5" customHeight="1" thickBot="1">
      <c r="B16" s="536"/>
      <c r="C16" s="375"/>
      <c r="D16" s="402"/>
      <c r="E16" s="374"/>
      <c r="F16" s="393"/>
      <c r="G16" s="173"/>
      <c r="H16" s="5"/>
      <c r="I16" s="393"/>
      <c r="J16" s="173"/>
      <c r="K16" s="5"/>
      <c r="L16" s="393"/>
      <c r="M16" s="537"/>
      <c r="P16" s="604"/>
      <c r="Q16" s="605"/>
      <c r="R16" s="603"/>
      <c r="S16" s="604"/>
      <c r="T16" s="605"/>
      <c r="U16" s="603"/>
      <c r="V16" s="604"/>
      <c r="W16" s="605"/>
      <c r="X16" s="603"/>
      <c r="Y16" s="151"/>
    </row>
    <row r="17" spans="2:25" ht="15.75" customHeight="1">
      <c r="B17" s="373" t="s">
        <v>529</v>
      </c>
      <c r="C17" s="374"/>
      <c r="D17" s="374"/>
      <c r="E17" s="375"/>
      <c r="F17" s="375"/>
      <c r="G17" s="375"/>
      <c r="H17" s="375"/>
      <c r="I17" s="375"/>
      <c r="J17" s="375"/>
      <c r="K17" s="375"/>
      <c r="L17" s="375"/>
      <c r="M17" s="376"/>
      <c r="P17" s="151"/>
      <c r="Q17" s="151"/>
      <c r="R17" s="151"/>
      <c r="S17" s="151"/>
      <c r="T17" s="151"/>
      <c r="U17" s="151"/>
      <c r="V17" s="151"/>
      <c r="W17" s="151"/>
      <c r="X17" s="151"/>
      <c r="Y17" s="151"/>
    </row>
    <row r="18" spans="2:25" ht="12.75" customHeight="1">
      <c r="B18" s="427"/>
      <c r="C18" s="5"/>
      <c r="D18" s="5"/>
      <c r="E18" s="148" t="s">
        <v>348</v>
      </c>
      <c r="F18" s="395"/>
      <c r="G18" s="395"/>
      <c r="H18" s="395"/>
      <c r="I18" s="395"/>
      <c r="J18" s="395"/>
      <c r="K18" s="395"/>
      <c r="L18" s="395"/>
      <c r="M18" s="397"/>
      <c r="P18" s="606"/>
      <c r="Q18" s="607"/>
      <c r="R18" s="607"/>
      <c r="S18" s="607"/>
      <c r="T18" s="607"/>
      <c r="U18" s="607"/>
      <c r="V18" s="607"/>
      <c r="W18" s="607"/>
      <c r="X18" s="607"/>
      <c r="Y18" s="151"/>
    </row>
    <row r="19" spans="2:25" ht="12.75" customHeight="1">
      <c r="B19" s="378"/>
      <c r="C19" s="5"/>
      <c r="D19" s="5"/>
      <c r="E19" s="148" t="s">
        <v>564</v>
      </c>
      <c r="F19" s="395"/>
      <c r="G19" s="396"/>
      <c r="H19" s="148" t="s">
        <v>565</v>
      </c>
      <c r="I19" s="395"/>
      <c r="J19" s="396"/>
      <c r="K19" s="148" t="s">
        <v>566</v>
      </c>
      <c r="L19" s="395"/>
      <c r="M19" s="397"/>
      <c r="P19" s="606"/>
      <c r="Q19" s="607"/>
      <c r="R19" s="607"/>
      <c r="S19" s="606"/>
      <c r="T19" s="607"/>
      <c r="U19" s="607"/>
      <c r="V19" s="606"/>
      <c r="W19" s="607"/>
      <c r="X19" s="607"/>
      <c r="Y19" s="151"/>
    </row>
    <row r="20" spans="2:25" ht="12.75" customHeight="1">
      <c r="B20" s="378"/>
      <c r="C20" s="91"/>
      <c r="D20" s="91"/>
      <c r="E20" s="371" t="s">
        <v>324</v>
      </c>
      <c r="F20" s="392" t="s">
        <v>103</v>
      </c>
      <c r="G20" s="372" t="s">
        <v>329</v>
      </c>
      <c r="H20" s="371" t="s">
        <v>324</v>
      </c>
      <c r="I20" s="392" t="s">
        <v>103</v>
      </c>
      <c r="J20" s="372" t="s">
        <v>329</v>
      </c>
      <c r="K20" s="371" t="s">
        <v>324</v>
      </c>
      <c r="L20" s="392" t="s">
        <v>103</v>
      </c>
      <c r="M20" s="398" t="s">
        <v>329</v>
      </c>
      <c r="P20" s="495"/>
      <c r="Q20" s="495"/>
      <c r="R20" s="495"/>
      <c r="S20" s="495"/>
      <c r="T20" s="495"/>
      <c r="U20" s="495"/>
      <c r="V20" s="495"/>
      <c r="W20" s="495"/>
      <c r="X20" s="495"/>
      <c r="Y20" s="151"/>
    </row>
    <row r="21" spans="2:25" ht="12.75" customHeight="1">
      <c r="B21" s="379" t="s">
        <v>321</v>
      </c>
      <c r="C21" s="283" t="s">
        <v>317</v>
      </c>
      <c r="D21" s="283" t="s">
        <v>267</v>
      </c>
      <c r="E21" s="367" t="s">
        <v>325</v>
      </c>
      <c r="F21" s="366" t="s">
        <v>326</v>
      </c>
      <c r="G21" s="394" t="s">
        <v>324</v>
      </c>
      <c r="H21" s="367" t="s">
        <v>325</v>
      </c>
      <c r="I21" s="366" t="s">
        <v>326</v>
      </c>
      <c r="J21" s="394" t="s">
        <v>324</v>
      </c>
      <c r="K21" s="367" t="s">
        <v>325</v>
      </c>
      <c r="L21" s="366" t="s">
        <v>326</v>
      </c>
      <c r="M21" s="399" t="s">
        <v>324</v>
      </c>
      <c r="P21" s="514"/>
      <c r="Q21" s="514"/>
      <c r="R21" s="495"/>
      <c r="S21" s="514"/>
      <c r="T21" s="514"/>
      <c r="U21" s="495"/>
      <c r="V21" s="514"/>
      <c r="W21" s="514"/>
      <c r="X21" s="495"/>
      <c r="Y21" s="151"/>
    </row>
    <row r="22" spans="2:25" ht="12.75" customHeight="1">
      <c r="B22" s="382" t="s">
        <v>316</v>
      </c>
      <c r="C22" s="327" t="s">
        <v>322</v>
      </c>
      <c r="D22" s="327" t="s">
        <v>331</v>
      </c>
      <c r="E22" s="403">
        <f>SUM('Table 3.4-NonPARS Fwd Summary'!F5,'Table 3.4-NonPARS Fwd Summary'!F11)</f>
        <v>8250.654946205965</v>
      </c>
      <c r="F22" s="361"/>
      <c r="G22" s="247"/>
      <c r="H22" s="403">
        <f>SUM('Table 3.7-NonPARS RTS Summary'!F5,'Table 3.7-NonPARS RTS Summary'!F11,'Table 3.7-NonPARS RTS Summary'!F17)</f>
        <v>10195.71900888828</v>
      </c>
      <c r="I22" s="361"/>
      <c r="J22" s="247"/>
      <c r="K22" s="403">
        <f>SUM('Table 3.10-NonPARS Wst Summary'!F5,'Table 3.10-NonPARS Wst Summary'!F10,'Table 3.10-NonPARS Wst Summary'!F15)</f>
        <v>109502.20048103787</v>
      </c>
      <c r="L22" s="361"/>
      <c r="M22" s="390"/>
      <c r="P22" s="485"/>
      <c r="Q22" s="151"/>
      <c r="R22" s="151"/>
      <c r="S22" s="485"/>
      <c r="T22" s="151"/>
      <c r="U22" s="151"/>
      <c r="V22" s="485"/>
      <c r="W22" s="151"/>
      <c r="X22" s="151"/>
      <c r="Y22" s="151"/>
    </row>
    <row r="23" spans="2:25" ht="12.75" customHeight="1">
      <c r="B23" s="382" t="s">
        <v>318</v>
      </c>
      <c r="C23" s="327" t="s">
        <v>323</v>
      </c>
      <c r="D23" s="327" t="s">
        <v>347</v>
      </c>
      <c r="E23" s="404">
        <f>SUM('Table 3.4-NonPARS Fwd Summary'!F6:F7)</f>
        <v>5783.104618116348</v>
      </c>
      <c r="F23" s="18"/>
      <c r="G23" s="369"/>
      <c r="H23" s="404">
        <f>SUM('Table 3.7-NonPARS RTS Summary'!F6:F7,'Table 3.7-NonPARS RTS Summary'!F18)</f>
        <v>23898.10450042162</v>
      </c>
      <c r="I23" s="18"/>
      <c r="J23" s="369"/>
      <c r="K23" s="404">
        <f>SUM('Table 3.10-NonPARS Wst Summary'!F6,'Table 3.10-NonPARS Wst Summary'!F16)</f>
        <v>53924.03504885097</v>
      </c>
      <c r="L23" s="18"/>
      <c r="M23" s="377"/>
      <c r="P23" s="485"/>
      <c r="Q23" s="151"/>
      <c r="R23" s="151"/>
      <c r="S23" s="485"/>
      <c r="T23" s="151"/>
      <c r="U23" s="151"/>
      <c r="V23" s="485"/>
      <c r="W23" s="151"/>
      <c r="X23" s="151"/>
      <c r="Y23" s="151"/>
    </row>
    <row r="24" spans="2:25" ht="12.75" customHeight="1">
      <c r="B24" s="382" t="s">
        <v>319</v>
      </c>
      <c r="C24" s="327" t="s">
        <v>323</v>
      </c>
      <c r="D24" s="327" t="s">
        <v>349</v>
      </c>
      <c r="E24" s="404">
        <f>SUM('Table 3.4-NonPARS Fwd Summary'!F12:F13)</f>
        <v>14494.325786382025</v>
      </c>
      <c r="F24" s="18"/>
      <c r="G24" s="369"/>
      <c r="H24" s="404">
        <f>SUM('Table 3.7-NonPARS RTS Summary'!F12:F13,'Table 3.7-NonPARS RTS Summary'!F19)</f>
        <v>10351.105583666938</v>
      </c>
      <c r="I24" s="18"/>
      <c r="J24" s="369"/>
      <c r="K24" s="404">
        <f>SUM('Table 3.10-NonPARS Wst Summary'!F11,'Table 3.10-NonPARS Wst Summary'!F17)</f>
        <v>14123.3358325345</v>
      </c>
      <c r="L24" s="18"/>
      <c r="M24" s="377"/>
      <c r="P24" s="485"/>
      <c r="Q24" s="151"/>
      <c r="R24" s="151"/>
      <c r="S24" s="485"/>
      <c r="T24" s="151"/>
      <c r="U24" s="151"/>
      <c r="V24" s="485"/>
      <c r="W24" s="151"/>
      <c r="X24" s="151"/>
      <c r="Y24" s="151"/>
    </row>
    <row r="25" spans="2:25" ht="12.75" customHeight="1">
      <c r="B25" s="380" t="s">
        <v>335</v>
      </c>
      <c r="C25" s="327" t="s">
        <v>332</v>
      </c>
      <c r="D25" s="327" t="s">
        <v>330</v>
      </c>
      <c r="E25" s="404">
        <f>'Table 3.4-NonPARS Fwd Summary'!F17</f>
        <v>31309.903064569367</v>
      </c>
      <c r="F25" s="18"/>
      <c r="G25" s="589"/>
      <c r="H25" s="404">
        <f>'Table 3.7-NonPARS RTS Summary'!F23</f>
        <v>194787.04521211568</v>
      </c>
      <c r="I25" s="18"/>
      <c r="J25" s="589"/>
      <c r="K25" s="404">
        <v>0</v>
      </c>
      <c r="L25" s="18"/>
      <c r="M25" s="377"/>
      <c r="O25" s="588"/>
      <c r="P25" s="485"/>
      <c r="Q25" s="151"/>
      <c r="R25" s="600"/>
      <c r="S25" s="485"/>
      <c r="T25" s="151"/>
      <c r="U25" s="600"/>
      <c r="V25" s="485"/>
      <c r="W25" s="151"/>
      <c r="X25" s="151"/>
      <c r="Y25" s="151"/>
    </row>
    <row r="26" spans="2:25" ht="12.75" customHeight="1">
      <c r="B26" s="383" t="s">
        <v>336</v>
      </c>
      <c r="C26" s="325" t="s">
        <v>322</v>
      </c>
      <c r="D26" s="365" t="s">
        <v>171</v>
      </c>
      <c r="E26" s="405">
        <f>SUM('Table 3.4-NonPARS Fwd Summary'!F18:F21)</f>
        <v>3664.943206279223</v>
      </c>
      <c r="F26" s="283"/>
      <c r="G26" s="370"/>
      <c r="H26" s="405">
        <f>SUM('Table 3.7-NonPARS RTS Summary'!F24:F26)</f>
        <v>21048.876280053802</v>
      </c>
      <c r="I26" s="283"/>
      <c r="J26" s="370"/>
      <c r="K26" s="405">
        <v>0</v>
      </c>
      <c r="L26" s="283"/>
      <c r="M26" s="387"/>
      <c r="O26" s="165"/>
      <c r="P26" s="485"/>
      <c r="Q26" s="151"/>
      <c r="R26" s="151"/>
      <c r="S26" s="485"/>
      <c r="T26" s="151"/>
      <c r="U26" s="151"/>
      <c r="V26" s="485"/>
      <c r="W26" s="151"/>
      <c r="X26" s="151"/>
      <c r="Y26" s="151"/>
    </row>
    <row r="27" spans="2:25" ht="12.75" customHeight="1" thickBot="1">
      <c r="B27" s="384"/>
      <c r="C27" s="385"/>
      <c r="D27" s="391" t="s">
        <v>277</v>
      </c>
      <c r="E27" s="411">
        <f>SUM(E22:E26)</f>
        <v>63502.93162155293</v>
      </c>
      <c r="F27" s="410">
        <f>'Table 3.4-NonPARS Fwd Summary'!B24</f>
        <v>112610.8279404586</v>
      </c>
      <c r="G27" s="400">
        <f>E27/F27</f>
        <v>0.563914969661081</v>
      </c>
      <c r="H27" s="411">
        <f>SUM(H22:H26)</f>
        <v>260280.85058514634</v>
      </c>
      <c r="I27" s="410">
        <f>'Table 3.7-NonPARS RTS Summary'!B29</f>
        <v>107304.60446327447</v>
      </c>
      <c r="J27" s="400">
        <f>H27/I27</f>
        <v>2.425626112570302</v>
      </c>
      <c r="K27" s="411">
        <f>SUM(K22:K26)</f>
        <v>177549.57136242333</v>
      </c>
      <c r="L27" s="410">
        <f>'Table 3.10-NonPARS Wst Summary'!B20</f>
        <v>3165156.9076852496</v>
      </c>
      <c r="M27" s="401">
        <f>K27/L27</f>
        <v>0.0560950298960911</v>
      </c>
      <c r="O27" s="83"/>
      <c r="P27" s="601"/>
      <c r="Q27" s="602"/>
      <c r="R27" s="603"/>
      <c r="S27" s="601"/>
      <c r="T27" s="602"/>
      <c r="U27" s="603"/>
      <c r="V27" s="601"/>
      <c r="W27" s="602"/>
      <c r="X27" s="603"/>
      <c r="Y27" s="484"/>
    </row>
    <row r="28" spans="2:25" ht="4.5" customHeight="1" thickBot="1">
      <c r="B28" s="538"/>
      <c r="C28" s="18"/>
      <c r="D28" s="512"/>
      <c r="E28" s="5"/>
      <c r="F28" s="393"/>
      <c r="G28" s="173"/>
      <c r="H28" s="5"/>
      <c r="I28" s="393"/>
      <c r="J28" s="173"/>
      <c r="K28" s="5"/>
      <c r="L28" s="393"/>
      <c r="M28" s="537"/>
      <c r="P28" s="604"/>
      <c r="Q28" s="605"/>
      <c r="R28" s="603"/>
      <c r="S28" s="604"/>
      <c r="T28" s="605"/>
      <c r="U28" s="603"/>
      <c r="V28" s="604"/>
      <c r="W28" s="605"/>
      <c r="X28" s="603"/>
      <c r="Y28" s="151"/>
    </row>
    <row r="29" spans="2:25" ht="15.75" customHeight="1">
      <c r="B29" s="373" t="s">
        <v>532</v>
      </c>
      <c r="C29" s="374"/>
      <c r="D29" s="374"/>
      <c r="E29" s="375"/>
      <c r="F29" s="375"/>
      <c r="G29" s="375"/>
      <c r="H29" s="375"/>
      <c r="I29" s="375"/>
      <c r="J29" s="375"/>
      <c r="K29" s="375"/>
      <c r="L29" s="375"/>
      <c r="M29" s="376"/>
      <c r="P29" s="151"/>
      <c r="Q29" s="151"/>
      <c r="R29" s="151"/>
      <c r="S29" s="151"/>
      <c r="T29" s="151"/>
      <c r="U29" s="151"/>
      <c r="V29" s="151"/>
      <c r="W29" s="151"/>
      <c r="X29" s="151"/>
      <c r="Y29" s="151"/>
    </row>
    <row r="30" spans="2:25" ht="12.75" customHeight="1">
      <c r="B30" s="427"/>
      <c r="C30" s="5"/>
      <c r="D30" s="5"/>
      <c r="E30" s="148" t="s">
        <v>348</v>
      </c>
      <c r="F30" s="395"/>
      <c r="G30" s="395"/>
      <c r="H30" s="395"/>
      <c r="I30" s="395"/>
      <c r="J30" s="395"/>
      <c r="K30" s="395"/>
      <c r="L30" s="395"/>
      <c r="M30" s="397"/>
      <c r="P30" s="606"/>
      <c r="Q30" s="607"/>
      <c r="R30" s="607"/>
      <c r="S30" s="607"/>
      <c r="T30" s="607"/>
      <c r="U30" s="607"/>
      <c r="V30" s="607"/>
      <c r="W30" s="607"/>
      <c r="X30" s="607"/>
      <c r="Y30" s="151"/>
    </row>
    <row r="31" spans="2:25" ht="12.75" customHeight="1">
      <c r="B31" s="378"/>
      <c r="C31" s="5"/>
      <c r="D31" s="5"/>
      <c r="E31" s="148" t="s">
        <v>278</v>
      </c>
      <c r="F31" s="395"/>
      <c r="G31" s="396"/>
      <c r="H31" s="148" t="s">
        <v>280</v>
      </c>
      <c r="I31" s="395"/>
      <c r="J31" s="396"/>
      <c r="K31" s="148" t="s">
        <v>279</v>
      </c>
      <c r="L31" s="395"/>
      <c r="M31" s="397"/>
      <c r="P31" s="606"/>
      <c r="Q31" s="607"/>
      <c r="R31" s="607"/>
      <c r="S31" s="606"/>
      <c r="T31" s="607"/>
      <c r="U31" s="607"/>
      <c r="V31" s="606"/>
      <c r="W31" s="607"/>
      <c r="X31" s="607"/>
      <c r="Y31" s="151"/>
    </row>
    <row r="32" spans="2:25" ht="12.75" customHeight="1">
      <c r="B32" s="378"/>
      <c r="C32" s="91"/>
      <c r="D32" s="91"/>
      <c r="E32" s="371" t="s">
        <v>324</v>
      </c>
      <c r="F32" s="392" t="s">
        <v>103</v>
      </c>
      <c r="G32" s="372" t="s">
        <v>329</v>
      </c>
      <c r="H32" s="371" t="s">
        <v>324</v>
      </c>
      <c r="I32" s="392" t="s">
        <v>103</v>
      </c>
      <c r="J32" s="372" t="s">
        <v>329</v>
      </c>
      <c r="K32" s="371" t="s">
        <v>324</v>
      </c>
      <c r="L32" s="392" t="s">
        <v>103</v>
      </c>
      <c r="M32" s="398" t="s">
        <v>329</v>
      </c>
      <c r="P32" s="495"/>
      <c r="Q32" s="495"/>
      <c r="R32" s="495"/>
      <c r="S32" s="495"/>
      <c r="T32" s="495"/>
      <c r="U32" s="495"/>
      <c r="V32" s="495"/>
      <c r="W32" s="495"/>
      <c r="X32" s="495"/>
      <c r="Y32" s="151"/>
    </row>
    <row r="33" spans="2:25" ht="12.75" customHeight="1">
      <c r="B33" s="379" t="s">
        <v>321</v>
      </c>
      <c r="C33" s="283" t="s">
        <v>317</v>
      </c>
      <c r="D33" s="283" t="s">
        <v>267</v>
      </c>
      <c r="E33" s="367" t="s">
        <v>325</v>
      </c>
      <c r="F33" s="366" t="s">
        <v>326</v>
      </c>
      <c r="G33" s="394" t="s">
        <v>324</v>
      </c>
      <c r="H33" s="367" t="s">
        <v>325</v>
      </c>
      <c r="I33" s="366" t="s">
        <v>326</v>
      </c>
      <c r="J33" s="394" t="s">
        <v>324</v>
      </c>
      <c r="K33" s="367" t="s">
        <v>325</v>
      </c>
      <c r="L33" s="366" t="s">
        <v>326</v>
      </c>
      <c r="M33" s="399" t="s">
        <v>324</v>
      </c>
      <c r="P33" s="514"/>
      <c r="Q33" s="514"/>
      <c r="R33" s="495"/>
      <c r="S33" s="514"/>
      <c r="T33" s="514"/>
      <c r="U33" s="495"/>
      <c r="V33" s="514"/>
      <c r="W33" s="514"/>
      <c r="X33" s="495"/>
      <c r="Y33" s="151"/>
    </row>
    <row r="34" spans="2:25" ht="12.75" customHeight="1">
      <c r="B34" s="382" t="s">
        <v>316</v>
      </c>
      <c r="C34" s="327" t="s">
        <v>322</v>
      </c>
      <c r="D34" s="327" t="s">
        <v>331</v>
      </c>
      <c r="E34" s="403">
        <f>E8+E22</f>
        <v>29313.645780383733</v>
      </c>
      <c r="F34" s="361"/>
      <c r="G34" s="247"/>
      <c r="H34" s="403">
        <f>H8+H22</f>
        <v>90627.39637407206</v>
      </c>
      <c r="I34" s="361"/>
      <c r="J34" s="247"/>
      <c r="K34" s="403">
        <f>K8+K22</f>
        <v>123251.76045260087</v>
      </c>
      <c r="L34" s="361"/>
      <c r="M34" s="390"/>
      <c r="P34" s="485"/>
      <c r="Q34" s="151"/>
      <c r="R34" s="151"/>
      <c r="S34" s="485"/>
      <c r="T34" s="151"/>
      <c r="U34" s="151"/>
      <c r="V34" s="485"/>
      <c r="W34" s="151"/>
      <c r="X34" s="151"/>
      <c r="Y34" s="151"/>
    </row>
    <row r="35" spans="2:25" ht="12.75" customHeight="1">
      <c r="B35" s="382" t="s">
        <v>318</v>
      </c>
      <c r="C35" s="327" t="s">
        <v>323</v>
      </c>
      <c r="D35" s="327" t="s">
        <v>347</v>
      </c>
      <c r="E35" s="404">
        <f>E9+E23</f>
        <v>7643.450116130054</v>
      </c>
      <c r="F35" s="18"/>
      <c r="G35" s="369"/>
      <c r="H35" s="404">
        <f>H9+H23</f>
        <v>38034.816016652796</v>
      </c>
      <c r="I35" s="18"/>
      <c r="J35" s="369"/>
      <c r="K35" s="404">
        <f>K9+K23</f>
        <v>55583.03023540633</v>
      </c>
      <c r="L35" s="18"/>
      <c r="M35" s="377"/>
      <c r="P35" s="485"/>
      <c r="Q35" s="151"/>
      <c r="R35" s="151"/>
      <c r="S35" s="485"/>
      <c r="T35" s="151"/>
      <c r="U35" s="151"/>
      <c r="V35" s="485"/>
      <c r="W35" s="151"/>
      <c r="X35" s="151"/>
      <c r="Y35" s="151"/>
    </row>
    <row r="36" spans="2:25" ht="12.75" customHeight="1">
      <c r="B36" s="382" t="s">
        <v>319</v>
      </c>
      <c r="C36" s="327" t="s">
        <v>323</v>
      </c>
      <c r="D36" s="327" t="s">
        <v>349</v>
      </c>
      <c r="E36" s="404">
        <f>E10+E24</f>
        <v>23904.684001712136</v>
      </c>
      <c r="F36" s="18"/>
      <c r="G36" s="369"/>
      <c r="H36" s="404">
        <f>H10+H24</f>
        <v>13257.859519749405</v>
      </c>
      <c r="I36" s="18"/>
      <c r="J36" s="369"/>
      <c r="K36" s="404">
        <f>K10+K24</f>
        <v>14609.239622408702</v>
      </c>
      <c r="L36" s="18"/>
      <c r="M36" s="377"/>
      <c r="P36" s="485"/>
      <c r="Q36" s="151"/>
      <c r="R36" s="151"/>
      <c r="S36" s="485"/>
      <c r="T36" s="151"/>
      <c r="U36" s="151"/>
      <c r="V36" s="485"/>
      <c r="W36" s="151"/>
      <c r="X36" s="151"/>
      <c r="Y36" s="151"/>
    </row>
    <row r="37" spans="2:25" ht="12.75" customHeight="1">
      <c r="B37" s="380" t="s">
        <v>459</v>
      </c>
      <c r="C37" s="327" t="s">
        <v>332</v>
      </c>
      <c r="D37" s="364" t="s">
        <v>531</v>
      </c>
      <c r="E37" s="404">
        <f>E11</f>
        <v>38195.48149015158</v>
      </c>
      <c r="F37" s="18"/>
      <c r="G37" s="369"/>
      <c r="H37" s="404">
        <f>H11</f>
        <v>-8052.079842203488</v>
      </c>
      <c r="I37" s="18"/>
      <c r="J37" s="369"/>
      <c r="K37" s="404">
        <f>K11</f>
        <v>36733.14140242238</v>
      </c>
      <c r="L37" s="18"/>
      <c r="M37" s="377"/>
      <c r="O37" s="107"/>
      <c r="P37" s="485"/>
      <c r="Q37" s="151"/>
      <c r="R37" s="151"/>
      <c r="S37" s="485"/>
      <c r="T37" s="151"/>
      <c r="U37" s="151"/>
      <c r="V37" s="485"/>
      <c r="W37" s="151"/>
      <c r="X37" s="151"/>
      <c r="Y37" s="151"/>
    </row>
    <row r="38" spans="2:25" ht="12.75" customHeight="1">
      <c r="B38" s="380" t="s">
        <v>530</v>
      </c>
      <c r="C38" s="327" t="s">
        <v>323</v>
      </c>
      <c r="D38" s="327" t="s">
        <v>46</v>
      </c>
      <c r="E38" s="404">
        <f>E12</f>
        <v>28304.03264838477</v>
      </c>
      <c r="F38" s="18"/>
      <c r="G38" s="369"/>
      <c r="H38" s="404">
        <f>H12</f>
        <v>3352.177171342437</v>
      </c>
      <c r="I38" s="18"/>
      <c r="J38" s="369"/>
      <c r="K38" s="404">
        <f>K12</f>
        <v>23365.309274630596</v>
      </c>
      <c r="L38" s="18"/>
      <c r="M38" s="377"/>
      <c r="P38" s="485"/>
      <c r="Q38" s="151"/>
      <c r="R38" s="151"/>
      <c r="S38" s="485"/>
      <c r="T38" s="151"/>
      <c r="U38" s="151"/>
      <c r="V38" s="485"/>
      <c r="W38" s="151"/>
      <c r="X38" s="151"/>
      <c r="Y38" s="151"/>
    </row>
    <row r="39" spans="2:25" ht="12.75" customHeight="1">
      <c r="B39" s="380" t="s">
        <v>335</v>
      </c>
      <c r="C39" s="327" t="s">
        <v>332</v>
      </c>
      <c r="D39" s="327" t="s">
        <v>330</v>
      </c>
      <c r="E39" s="404">
        <f>E13+E25</f>
        <v>89905.59289385231</v>
      </c>
      <c r="F39" s="18"/>
      <c r="G39" s="589"/>
      <c r="H39" s="404">
        <f>H13+H25</f>
        <v>612317.0226898454</v>
      </c>
      <c r="I39" s="18"/>
      <c r="J39" s="589"/>
      <c r="K39" s="404">
        <f>K13+K25</f>
        <v>0</v>
      </c>
      <c r="L39" s="18"/>
      <c r="M39" s="377"/>
      <c r="O39" s="588"/>
      <c r="P39" s="485"/>
      <c r="Q39" s="151"/>
      <c r="R39" s="600"/>
      <c r="S39" s="485"/>
      <c r="T39" s="151"/>
      <c r="U39" s="600"/>
      <c r="V39" s="485"/>
      <c r="W39" s="151"/>
      <c r="X39" s="151"/>
      <c r="Y39" s="151"/>
    </row>
    <row r="40" spans="2:25" ht="12.75" customHeight="1">
      <c r="B40" s="383" t="s">
        <v>336</v>
      </c>
      <c r="C40" s="325" t="s">
        <v>322</v>
      </c>
      <c r="D40" s="365" t="s">
        <v>171</v>
      </c>
      <c r="E40" s="405">
        <f>E14+E26</f>
        <v>3664.943206279223</v>
      </c>
      <c r="F40" s="283"/>
      <c r="G40" s="370"/>
      <c r="H40" s="405">
        <f>H14+H26</f>
        <v>39055.302193838506</v>
      </c>
      <c r="I40" s="283"/>
      <c r="J40" s="370"/>
      <c r="K40" s="405">
        <f>K14+K26</f>
        <v>0</v>
      </c>
      <c r="L40" s="283"/>
      <c r="M40" s="387"/>
      <c r="O40" s="165"/>
      <c r="P40" s="485"/>
      <c r="Q40" s="151"/>
      <c r="R40" s="151"/>
      <c r="S40" s="485"/>
      <c r="T40" s="151"/>
      <c r="U40" s="151"/>
      <c r="V40" s="485"/>
      <c r="W40" s="151"/>
      <c r="X40" s="151"/>
      <c r="Y40" s="151"/>
    </row>
    <row r="41" spans="2:25" ht="12.75" customHeight="1" thickBot="1">
      <c r="B41" s="384"/>
      <c r="C41" s="385"/>
      <c r="D41" s="391" t="s">
        <v>277</v>
      </c>
      <c r="E41" s="411">
        <f>SUM(E34:E40)</f>
        <v>220931.8301368938</v>
      </c>
      <c r="F41" s="410">
        <f>F15+F27</f>
        <v>993673.8679404587</v>
      </c>
      <c r="G41" s="400">
        <f>E41/F41</f>
        <v>0.22233837204032433</v>
      </c>
      <c r="H41" s="411">
        <f>SUM(H34:H40)</f>
        <v>788592.4941232972</v>
      </c>
      <c r="I41" s="410">
        <f>I15+I27</f>
        <v>1454513.9534632745</v>
      </c>
      <c r="J41" s="400">
        <f>H41/I41</f>
        <v>0.5421690814623104</v>
      </c>
      <c r="K41" s="411">
        <f>SUM(K34:K40)</f>
        <v>253542.48098746888</v>
      </c>
      <c r="L41" s="410">
        <f>L15+L27</f>
        <v>4028809.7836852493</v>
      </c>
      <c r="M41" s="401">
        <f>K41/L41</f>
        <v>0.06293235337498299</v>
      </c>
      <c r="O41" s="83"/>
      <c r="P41" s="601"/>
      <c r="Q41" s="602"/>
      <c r="R41" s="603"/>
      <c r="S41" s="601"/>
      <c r="T41" s="602"/>
      <c r="U41" s="603"/>
      <c r="V41" s="601"/>
      <c r="W41" s="602"/>
      <c r="X41" s="603"/>
      <c r="Y41" s="484"/>
    </row>
    <row r="42" spans="2:25" ht="4.5" customHeight="1">
      <c r="B42" s="151"/>
      <c r="C42" s="18"/>
      <c r="D42" s="512"/>
      <c r="E42" s="5"/>
      <c r="F42" s="393"/>
      <c r="G42" s="173"/>
      <c r="H42" s="5"/>
      <c r="I42" s="393"/>
      <c r="J42" s="173"/>
      <c r="K42" s="5"/>
      <c r="L42" s="393"/>
      <c r="M42" s="173"/>
      <c r="P42" s="604"/>
      <c r="Q42" s="605"/>
      <c r="R42" s="603"/>
      <c r="S42" s="604"/>
      <c r="T42" s="605"/>
      <c r="U42" s="603"/>
      <c r="V42" s="604"/>
      <c r="W42" s="605"/>
      <c r="X42" s="603"/>
      <c r="Y42" s="151"/>
    </row>
    <row r="43" spans="2:25" ht="12.75" customHeight="1" thickBot="1">
      <c r="B43" s="151"/>
      <c r="C43" s="18"/>
      <c r="D43" s="512"/>
      <c r="E43" s="5"/>
      <c r="F43" s="393"/>
      <c r="G43" s="173"/>
      <c r="H43" s="5"/>
      <c r="I43" s="393"/>
      <c r="J43" s="173"/>
      <c r="K43" s="5"/>
      <c r="L43" s="393"/>
      <c r="M43" s="173"/>
      <c r="P43" s="604"/>
      <c r="Q43" s="605"/>
      <c r="R43" s="603"/>
      <c r="S43" s="604"/>
      <c r="T43" s="605"/>
      <c r="U43" s="603"/>
      <c r="V43" s="604"/>
      <c r="W43" s="605"/>
      <c r="X43" s="603"/>
      <c r="Y43" s="151"/>
    </row>
    <row r="44" spans="2:25" ht="15.75">
      <c r="B44" s="373" t="s">
        <v>333</v>
      </c>
      <c r="C44" s="375"/>
      <c r="D44" s="375"/>
      <c r="E44" s="521" t="s">
        <v>533</v>
      </c>
      <c r="F44" s="522"/>
      <c r="G44" s="523"/>
      <c r="H44" s="521" t="s">
        <v>534</v>
      </c>
      <c r="I44" s="522"/>
      <c r="J44" s="523"/>
      <c r="K44" s="521" t="s">
        <v>102</v>
      </c>
      <c r="L44" s="524"/>
      <c r="M44" s="525"/>
      <c r="O44" s="598"/>
      <c r="P44" s="606"/>
      <c r="Q44" s="607"/>
      <c r="R44" s="607"/>
      <c r="S44" s="606"/>
      <c r="T44" s="607"/>
      <c r="U44" s="607"/>
      <c r="V44" s="606"/>
      <c r="W44" s="606"/>
      <c r="X44" s="606"/>
      <c r="Y44" s="151"/>
    </row>
    <row r="45" spans="2:25" ht="12.75" customHeight="1">
      <c r="B45" s="381"/>
      <c r="C45" s="18"/>
      <c r="D45" s="18"/>
      <c r="E45" s="371" t="s">
        <v>324</v>
      </c>
      <c r="F45" s="392" t="s">
        <v>103</v>
      </c>
      <c r="G45" s="372" t="s">
        <v>329</v>
      </c>
      <c r="H45" s="371" t="s">
        <v>324</v>
      </c>
      <c r="I45" s="392" t="s">
        <v>103</v>
      </c>
      <c r="J45" s="372" t="s">
        <v>329</v>
      </c>
      <c r="K45" s="371" t="s">
        <v>324</v>
      </c>
      <c r="L45" s="392" t="s">
        <v>103</v>
      </c>
      <c r="M45" s="398" t="s">
        <v>329</v>
      </c>
      <c r="N45" s="234"/>
      <c r="O45" s="221"/>
      <c r="P45" s="495"/>
      <c r="Q45" s="495"/>
      <c r="R45" s="495"/>
      <c r="S45" s="495"/>
      <c r="T45" s="495"/>
      <c r="U45" s="495"/>
      <c r="V45" s="495"/>
      <c r="W45" s="495"/>
      <c r="X45" s="495"/>
      <c r="Y45" s="151"/>
    </row>
    <row r="46" spans="2:25" ht="12.75" customHeight="1">
      <c r="B46" s="381"/>
      <c r="C46" s="18"/>
      <c r="D46" s="18"/>
      <c r="E46" s="516" t="s">
        <v>325</v>
      </c>
      <c r="F46" s="514" t="s">
        <v>326</v>
      </c>
      <c r="G46" s="517" t="s">
        <v>324</v>
      </c>
      <c r="H46" s="516" t="s">
        <v>325</v>
      </c>
      <c r="I46" s="514" t="s">
        <v>326</v>
      </c>
      <c r="J46" s="517" t="s">
        <v>324</v>
      </c>
      <c r="K46" s="516" t="s">
        <v>325</v>
      </c>
      <c r="L46" s="514" t="s">
        <v>326</v>
      </c>
      <c r="M46" s="526" t="s">
        <v>324</v>
      </c>
      <c r="N46" s="328"/>
      <c r="O46" s="495"/>
      <c r="P46" s="514"/>
      <c r="Q46" s="514"/>
      <c r="R46" s="495"/>
      <c r="S46" s="514"/>
      <c r="T46" s="514"/>
      <c r="U46" s="495"/>
      <c r="V46" s="514"/>
      <c r="W46" s="514"/>
      <c r="X46" s="495"/>
      <c r="Y46" s="151"/>
    </row>
    <row r="47" spans="2:25" ht="12.75" customHeight="1">
      <c r="B47" s="386" t="s">
        <v>567</v>
      </c>
      <c r="C47" s="283"/>
      <c r="D47" s="513" t="s">
        <v>277</v>
      </c>
      <c r="E47" s="405">
        <f>'Table 3.13-COA Costs'!L79</f>
        <v>76069.7914422596</v>
      </c>
      <c r="F47" s="10">
        <f>'Table 3.13-COA Costs'!D79</f>
        <v>36972.984</v>
      </c>
      <c r="G47" s="468">
        <f>E47/F47</f>
        <v>2.0574425759700543</v>
      </c>
      <c r="H47" s="405">
        <v>0</v>
      </c>
      <c r="I47" s="10">
        <v>0</v>
      </c>
      <c r="J47" s="468">
        <v>0</v>
      </c>
      <c r="K47" s="405">
        <f>E47+H47</f>
        <v>76069.7914422596</v>
      </c>
      <c r="L47" s="10">
        <f>F47+I47</f>
        <v>36972.984</v>
      </c>
      <c r="M47" s="527">
        <f>G47+J47</f>
        <v>2.0574425759700543</v>
      </c>
      <c r="O47" s="173"/>
      <c r="P47" s="485"/>
      <c r="Q47" s="492"/>
      <c r="R47" s="488"/>
      <c r="S47" s="485"/>
      <c r="T47" s="492"/>
      <c r="U47" s="488"/>
      <c r="V47" s="485"/>
      <c r="W47" s="492"/>
      <c r="X47" s="603"/>
      <c r="Y47" s="484"/>
    </row>
    <row r="48" spans="2:25" ht="4.5" customHeight="1">
      <c r="B48" s="381"/>
      <c r="C48" s="18"/>
      <c r="D48" s="18"/>
      <c r="E48" s="368"/>
      <c r="F48" s="361"/>
      <c r="G48" s="519"/>
      <c r="H48" s="368"/>
      <c r="I48" s="361"/>
      <c r="J48" s="247"/>
      <c r="K48" s="368"/>
      <c r="L48" s="361"/>
      <c r="M48" s="390"/>
      <c r="O48" s="18"/>
      <c r="P48" s="151"/>
      <c r="Q48" s="151"/>
      <c r="R48" s="66"/>
      <c r="S48" s="151"/>
      <c r="T48" s="151"/>
      <c r="U48" s="151"/>
      <c r="V48" s="151"/>
      <c r="W48" s="151"/>
      <c r="X48" s="151"/>
      <c r="Y48" s="151"/>
    </row>
    <row r="49" spans="2:25" ht="12.75" customHeight="1">
      <c r="B49" s="378" t="s">
        <v>768</v>
      </c>
      <c r="C49" s="18"/>
      <c r="D49" s="18"/>
      <c r="E49" s="363"/>
      <c r="F49" s="18"/>
      <c r="G49" s="520"/>
      <c r="H49" s="363"/>
      <c r="I49" s="18"/>
      <c r="J49" s="369"/>
      <c r="K49" s="363"/>
      <c r="L49" s="18"/>
      <c r="M49" s="377"/>
      <c r="O49" s="18"/>
      <c r="P49" s="151"/>
      <c r="Q49" s="151"/>
      <c r="R49" s="66"/>
      <c r="S49" s="151"/>
      <c r="T49" s="151"/>
      <c r="U49" s="151"/>
      <c r="V49" s="151"/>
      <c r="W49" s="151"/>
      <c r="X49" s="151"/>
      <c r="Y49" s="151"/>
    </row>
    <row r="50" spans="2:25" ht="12.75">
      <c r="B50" s="425" t="s">
        <v>769</v>
      </c>
      <c r="C50" s="18"/>
      <c r="D50" s="18"/>
      <c r="E50" s="404">
        <f>SUM('Table 3.25-REC Summary'!L8:L10)+'Table 3.19-CFS UAA'!J47</f>
        <v>8085.294154082112</v>
      </c>
      <c r="F50" s="324">
        <f>SUM('Table 3.23-CIOSS Summary'!C8:C10)</f>
        <v>201570.16932623013</v>
      </c>
      <c r="G50" s="518">
        <f>E50/F50</f>
        <v>0.04011156105642057</v>
      </c>
      <c r="H50" s="404">
        <f>'Table 3.19-CFS UAA'!J16</f>
        <v>32129.510998044632</v>
      </c>
      <c r="I50" s="324">
        <f>'Table 3.19-CFS UAA'!B16</f>
        <v>73864.33973089083</v>
      </c>
      <c r="J50" s="518">
        <f>H50/I50</f>
        <v>0.43498000679491267</v>
      </c>
      <c r="K50" s="404">
        <f aca="true" t="shared" si="0" ref="K50:L52">E50+H50</f>
        <v>40214.80515212675</v>
      </c>
      <c r="L50" s="324">
        <f t="shared" si="0"/>
        <v>275434.50905712094</v>
      </c>
      <c r="M50" s="528">
        <f>K50/L50</f>
        <v>0.14600496244930153</v>
      </c>
      <c r="O50" s="83"/>
      <c r="P50" s="485"/>
      <c r="Q50" s="492"/>
      <c r="R50" s="488"/>
      <c r="S50" s="485"/>
      <c r="T50" s="492"/>
      <c r="U50" s="488"/>
      <c r="V50" s="485"/>
      <c r="W50" s="492"/>
      <c r="X50" s="488"/>
      <c r="Y50" s="151"/>
    </row>
    <row r="51" spans="2:25" ht="12.75">
      <c r="B51" s="425" t="s">
        <v>770</v>
      </c>
      <c r="C51" s="18"/>
      <c r="D51" s="18"/>
      <c r="E51" s="404">
        <f>SUM('Table 3.25-REC Summary'!L12:L13)+'Table 3.19-CFS UAA'!J60</f>
        <v>10074.792878596985</v>
      </c>
      <c r="F51" s="324">
        <f>SUM('Table 3.23-CIOSS Summary'!C12:C13)</f>
        <v>279590.90333937074</v>
      </c>
      <c r="G51" s="518">
        <f>E51/F51</f>
        <v>0.03603405103050897</v>
      </c>
      <c r="H51" s="404">
        <f>'Table 3.19-CFS UAA'!J29</f>
        <v>22342.40804175843</v>
      </c>
      <c r="I51" s="324">
        <f>'Table 3.19-CFS UAA'!B29</f>
        <v>63991.33722266703</v>
      </c>
      <c r="J51" s="518">
        <f>H51/I51</f>
        <v>0.34914738480952223</v>
      </c>
      <c r="K51" s="404">
        <f t="shared" si="0"/>
        <v>32417.200920355415</v>
      </c>
      <c r="L51" s="324">
        <f t="shared" si="0"/>
        <v>343582.2405620378</v>
      </c>
      <c r="M51" s="528">
        <f>K51/L51</f>
        <v>0.0943506301935944</v>
      </c>
      <c r="O51" s="83"/>
      <c r="P51" s="485"/>
      <c r="Q51" s="492"/>
      <c r="R51" s="488"/>
      <c r="S51" s="485"/>
      <c r="T51" s="492"/>
      <c r="U51" s="488"/>
      <c r="V51" s="485"/>
      <c r="W51" s="492"/>
      <c r="X51" s="488"/>
      <c r="Y51" s="151"/>
    </row>
    <row r="52" spans="2:25" ht="12.75">
      <c r="B52" s="426" t="s">
        <v>771</v>
      </c>
      <c r="C52" s="283"/>
      <c r="D52" s="370"/>
      <c r="E52" s="405">
        <v>0</v>
      </c>
      <c r="F52" s="10">
        <f>SUM('Table 3.18-Nixie UAA'!D10:D11)+SUM('Table 3.24-CIOSS Detail'!E15:E16)</f>
        <v>279590.90333937074</v>
      </c>
      <c r="G52" s="468">
        <v>0</v>
      </c>
      <c r="H52" s="405">
        <f>SUM('Table 3.18-Nixie UAA'!I26:I27)</f>
        <v>21763.285636973847</v>
      </c>
      <c r="I52" s="10">
        <f>SUM('Table 3.18-Nixie UAA'!D26:D27)</f>
        <v>63991.33722266703</v>
      </c>
      <c r="J52" s="468">
        <f>H52/I52</f>
        <v>0.34009737226220754</v>
      </c>
      <c r="K52" s="405">
        <f t="shared" si="0"/>
        <v>21763.285636973847</v>
      </c>
      <c r="L52" s="10">
        <f t="shared" si="0"/>
        <v>343582.2405620378</v>
      </c>
      <c r="M52" s="535">
        <f>K52/L52</f>
        <v>0.06334228917470555</v>
      </c>
      <c r="O52" s="83"/>
      <c r="P52" s="485"/>
      <c r="Q52" s="492"/>
      <c r="R52" s="488"/>
      <c r="S52" s="485"/>
      <c r="T52" s="492"/>
      <c r="U52" s="488"/>
      <c r="V52" s="485"/>
      <c r="W52" s="492"/>
      <c r="X52" s="488"/>
      <c r="Y52" s="151"/>
    </row>
    <row r="53" spans="2:25" ht="12.75">
      <c r="B53" s="381"/>
      <c r="C53" s="18"/>
      <c r="D53" s="512" t="s">
        <v>277</v>
      </c>
      <c r="E53" s="412">
        <f>SUM(E50:E52)</f>
        <v>18160.087032679097</v>
      </c>
      <c r="F53" s="282">
        <f>SUM(F50:F51)</f>
        <v>481161.07266560086</v>
      </c>
      <c r="G53" s="468">
        <f>E53/F53</f>
        <v>0.03774221994325809</v>
      </c>
      <c r="H53" s="412">
        <f>SUM(H50:H52)</f>
        <v>76235.2046767769</v>
      </c>
      <c r="I53" s="282">
        <f>SUM(I50:I51)</f>
        <v>137855.67695355788</v>
      </c>
      <c r="J53" s="468">
        <f>H53/I53</f>
        <v>0.5530073651044471</v>
      </c>
      <c r="K53" s="405">
        <f>SUM(K50:K52)</f>
        <v>94395.29170945601</v>
      </c>
      <c r="L53" s="10">
        <f>SUM(L50:L51)</f>
        <v>619016.7496191587</v>
      </c>
      <c r="M53" s="527">
        <f>K53/L53</f>
        <v>0.15249230617351045</v>
      </c>
      <c r="O53" s="173"/>
      <c r="P53" s="601"/>
      <c r="Q53" s="602"/>
      <c r="R53" s="488"/>
      <c r="S53" s="601"/>
      <c r="T53" s="602"/>
      <c r="U53" s="488"/>
      <c r="V53" s="485"/>
      <c r="W53" s="492"/>
      <c r="X53" s="603"/>
      <c r="Y53" s="484"/>
    </row>
    <row r="54" spans="2:25" ht="4.5" customHeight="1">
      <c r="B54" s="406"/>
      <c r="C54" s="361"/>
      <c r="D54" s="361"/>
      <c r="E54" s="368"/>
      <c r="F54" s="361"/>
      <c r="G54" s="247"/>
      <c r="H54" s="368"/>
      <c r="I54" s="361"/>
      <c r="J54" s="247"/>
      <c r="K54" s="368"/>
      <c r="L54" s="361"/>
      <c r="M54" s="390"/>
      <c r="O54" s="18"/>
      <c r="P54" s="151"/>
      <c r="Q54" s="151"/>
      <c r="R54" s="151"/>
      <c r="S54" s="151"/>
      <c r="T54" s="151"/>
      <c r="U54" s="151"/>
      <c r="V54" s="151"/>
      <c r="W54" s="151"/>
      <c r="X54" s="151"/>
      <c r="Y54" s="151"/>
    </row>
    <row r="55" spans="2:25" ht="12.75">
      <c r="B55" s="378" t="s">
        <v>772</v>
      </c>
      <c r="C55" s="18"/>
      <c r="D55" s="18"/>
      <c r="E55" s="363"/>
      <c r="F55" s="18"/>
      <c r="G55" s="369"/>
      <c r="H55" s="363"/>
      <c r="I55" s="18"/>
      <c r="J55" s="369"/>
      <c r="K55" s="363"/>
      <c r="L55" s="18"/>
      <c r="M55" s="377"/>
      <c r="O55" s="18"/>
      <c r="P55" s="151"/>
      <c r="Q55" s="151"/>
      <c r="R55" s="151"/>
      <c r="S55" s="151"/>
      <c r="T55" s="151"/>
      <c r="U55" s="151"/>
      <c r="V55" s="151"/>
      <c r="W55" s="151"/>
      <c r="X55" s="151"/>
      <c r="Y55" s="151"/>
    </row>
    <row r="56" spans="2:25" ht="12.75">
      <c r="B56" s="388" t="s">
        <v>327</v>
      </c>
      <c r="C56" s="18"/>
      <c r="D56" s="18"/>
      <c r="E56" s="404">
        <f>F56*G56</f>
        <v>25021.648855877353</v>
      </c>
      <c r="F56" s="324">
        <f>SUM('Table 3.11-Form3547 Costs'!H6,'Table 3.11-Form3547 Costs'!H13,'Table 3.11-Form3547 Costs'!H19)</f>
        <v>65298.55529993011</v>
      </c>
      <c r="G56" s="518">
        <f>'Table 3.11-Form3547 Costs'!P21</f>
        <v>0.3831883989002148</v>
      </c>
      <c r="H56" s="404">
        <f>I56*J56</f>
        <v>10110.033086940985</v>
      </c>
      <c r="I56" s="324">
        <f>SUM('Table 3.11-Form3547 Costs'!H28:H29,'Table 3.11-Form3547 Costs'!H36:H37,'Table 3.11-Form3547 Costs'!H43)</f>
        <v>11253.053035607381</v>
      </c>
      <c r="J56" s="518">
        <f>'Table 3.11-Form3547 Costs'!P45</f>
        <v>0.898425792089524</v>
      </c>
      <c r="K56" s="404">
        <f>E56+H56</f>
        <v>35131.68194281834</v>
      </c>
      <c r="L56" s="324">
        <f>F56+I56</f>
        <v>76551.60833553749</v>
      </c>
      <c r="M56" s="528">
        <f>K56/L56</f>
        <v>0.45892807096659244</v>
      </c>
      <c r="O56" s="83"/>
      <c r="P56" s="485"/>
      <c r="Q56" s="492"/>
      <c r="R56" s="488"/>
      <c r="S56" s="485"/>
      <c r="T56" s="492"/>
      <c r="U56" s="488"/>
      <c r="V56" s="485"/>
      <c r="W56" s="492"/>
      <c r="X56" s="488"/>
      <c r="Y56" s="151"/>
    </row>
    <row r="57" spans="2:25" ht="12.75">
      <c r="B57" s="389" t="s">
        <v>328</v>
      </c>
      <c r="C57" s="283"/>
      <c r="D57" s="370"/>
      <c r="E57" s="405">
        <v>0</v>
      </c>
      <c r="F57" s="10">
        <v>0</v>
      </c>
      <c r="G57" s="468">
        <v>0</v>
      </c>
      <c r="H57" s="405">
        <f>I57*J57</f>
        <v>11707.99698013265</v>
      </c>
      <c r="I57" s="10">
        <f>SUM('Table 3.12-Form3579 Costs'!H7:H8)</f>
        <v>12670.277924239026</v>
      </c>
      <c r="J57" s="468">
        <f>'Table 3.12-Form3579 Costs'!P12</f>
        <v>0.9240521044715623</v>
      </c>
      <c r="K57" s="405">
        <f>E57+H57</f>
        <v>11707.99698013265</v>
      </c>
      <c r="L57" s="10">
        <f>F57+I57</f>
        <v>12670.277924239026</v>
      </c>
      <c r="M57" s="535">
        <f>K57/L57</f>
        <v>0.9240521044715623</v>
      </c>
      <c r="O57" s="83"/>
      <c r="P57" s="485"/>
      <c r="Q57" s="492"/>
      <c r="R57" s="488"/>
      <c r="S57" s="485"/>
      <c r="T57" s="492"/>
      <c r="U57" s="488"/>
      <c r="V57" s="485"/>
      <c r="W57" s="492"/>
      <c r="X57" s="488"/>
      <c r="Y57" s="151"/>
    </row>
    <row r="58" spans="2:25" ht="13.5" thickBot="1">
      <c r="B58" s="384"/>
      <c r="C58" s="385"/>
      <c r="D58" s="391" t="s">
        <v>277</v>
      </c>
      <c r="E58" s="529">
        <f>SUM(E56:E57)</f>
        <v>25021.648855877353</v>
      </c>
      <c r="F58" s="530">
        <f>SUM(F56:F57)</f>
        <v>65298.55529993011</v>
      </c>
      <c r="G58" s="531">
        <f>E58/F58</f>
        <v>0.3831883989002148</v>
      </c>
      <c r="H58" s="529">
        <f>SUM(H56:H57)</f>
        <v>21818.030067073632</v>
      </c>
      <c r="I58" s="530">
        <f>SUM(I56:I57)</f>
        <v>23923.330959846407</v>
      </c>
      <c r="J58" s="531">
        <f>H58/I58</f>
        <v>0.9119980032752809</v>
      </c>
      <c r="K58" s="532">
        <f>SUM(K56:K57)</f>
        <v>46839.67892295099</v>
      </c>
      <c r="L58" s="533">
        <f>SUM(L56:L57)</f>
        <v>89221.88625977651</v>
      </c>
      <c r="M58" s="534">
        <f>K58/L58</f>
        <v>0.5249796982163502</v>
      </c>
      <c r="O58" s="173"/>
      <c r="P58" s="601"/>
      <c r="Q58" s="602"/>
      <c r="R58" s="488"/>
      <c r="S58" s="601"/>
      <c r="T58" s="602"/>
      <c r="U58" s="488"/>
      <c r="V58" s="485"/>
      <c r="W58" s="492"/>
      <c r="X58" s="603"/>
      <c r="Y58" s="484"/>
    </row>
    <row r="59" spans="16:25" ht="4.5" customHeight="1" thickBot="1">
      <c r="P59" s="151"/>
      <c r="Q59" s="151"/>
      <c r="R59" s="151"/>
      <c r="S59" s="151"/>
      <c r="T59" s="151"/>
      <c r="U59" s="151"/>
      <c r="V59" s="151"/>
      <c r="W59" s="151"/>
      <c r="X59" s="151"/>
      <c r="Y59" s="151"/>
    </row>
    <row r="60" spans="3:25" ht="12.75" customHeight="1" thickBot="1">
      <c r="C60" s="539"/>
      <c r="D60" s="540" t="s">
        <v>538</v>
      </c>
      <c r="E60" s="541">
        <f>SUM(E15,H15,K15)+SUM(E47,E53,E58)</f>
        <v>880984.9790093532</v>
      </c>
      <c r="F60" s="542"/>
      <c r="G60" s="542"/>
      <c r="H60" s="541">
        <f>SUM(E27,H27,K27)+SUM(H47,H53,H58)</f>
        <v>599386.5883129732</v>
      </c>
      <c r="I60" s="542"/>
      <c r="J60" s="542"/>
      <c r="K60" s="541">
        <f>E60+H60</f>
        <v>1480371.5673223264</v>
      </c>
      <c r="L60" s="542"/>
      <c r="M60" s="543"/>
      <c r="O60" s="588"/>
      <c r="P60" s="601"/>
      <c r="Q60" s="151"/>
      <c r="R60" s="151"/>
      <c r="S60" s="601"/>
      <c r="T60" s="151"/>
      <c r="U60" s="151"/>
      <c r="V60" s="601"/>
      <c r="W60" s="151"/>
      <c r="X60" s="151"/>
      <c r="Y60" s="484"/>
    </row>
    <row r="61" spans="4:25" ht="12.75" customHeight="1" hidden="1">
      <c r="D61" s="332"/>
      <c r="E61" s="53"/>
      <c r="F61" s="6"/>
      <c r="G61" s="6"/>
      <c r="H61" s="6"/>
      <c r="I61" s="6"/>
      <c r="J61" s="6"/>
      <c r="K61" s="6"/>
      <c r="L61" s="6"/>
      <c r="P61" s="151"/>
      <c r="Q61" s="151"/>
      <c r="R61" s="151"/>
      <c r="S61" s="151"/>
      <c r="T61" s="151"/>
      <c r="U61" s="151"/>
      <c r="V61" s="151"/>
      <c r="W61" s="151"/>
      <c r="X61" s="151"/>
      <c r="Y61" s="151"/>
    </row>
    <row r="62" spans="4:25" ht="12.75" hidden="1">
      <c r="D62" s="332"/>
      <c r="E62" s="52"/>
      <c r="P62" s="151"/>
      <c r="Q62" s="151"/>
      <c r="R62" s="151"/>
      <c r="S62" s="151"/>
      <c r="T62" s="151"/>
      <c r="U62" s="151"/>
      <c r="V62" s="151"/>
      <c r="W62" s="151"/>
      <c r="X62" s="151"/>
      <c r="Y62" s="151"/>
    </row>
    <row r="63" spans="4:25" ht="12.75" hidden="1">
      <c r="D63" s="428" t="s">
        <v>191</v>
      </c>
      <c r="E63" s="138">
        <f>E15-'Table 3.3-PARS Fwd Summary'!F29</f>
        <v>0</v>
      </c>
      <c r="F63" s="138">
        <f>F15-'Table 3.3-PARS Fwd Summary'!B29</f>
        <v>0</v>
      </c>
      <c r="G63" s="352"/>
      <c r="H63" s="138">
        <f>H15-'Table 3.6-PARS RTS Summary'!F68</f>
        <v>0</v>
      </c>
      <c r="I63" s="138">
        <f>I15-'Table 3.6-PARS RTS Summary'!B68</f>
        <v>0</v>
      </c>
      <c r="J63" s="352"/>
      <c r="K63" s="138">
        <f>K15-'Table 3.9-PARS Wst Summary'!F48</f>
        <v>0</v>
      </c>
      <c r="L63" s="138">
        <f>L15-'Table 3.9-PARS Wst Summary'!B48</f>
        <v>0</v>
      </c>
      <c r="M63" s="352"/>
      <c r="P63" s="151"/>
      <c r="Q63" s="151"/>
      <c r="R63" s="151"/>
      <c r="S63" s="151"/>
      <c r="T63" s="151"/>
      <c r="U63" s="151"/>
      <c r="V63" s="151"/>
      <c r="W63" s="151"/>
      <c r="X63" s="151"/>
      <c r="Y63" s="151"/>
    </row>
    <row r="64" spans="4:25" ht="12.75" hidden="1">
      <c r="D64" s="428"/>
      <c r="E64" s="138">
        <f>E27-'Table 3.4-NonPARS Fwd Summary'!F24</f>
        <v>0</v>
      </c>
      <c r="F64" s="138">
        <f>F27-'Table 3.4-NonPARS Fwd Summary'!B24</f>
        <v>0</v>
      </c>
      <c r="G64" s="352"/>
      <c r="H64" s="138">
        <f>H27-'Table 3.7-NonPARS RTS Summary'!F29</f>
        <v>0</v>
      </c>
      <c r="I64" s="138">
        <f>I27-'Table 3.7-NonPARS RTS Summary'!B29</f>
        <v>0</v>
      </c>
      <c r="J64" s="352"/>
      <c r="K64" s="138">
        <f>K27-'Table 3.10-NonPARS Wst Summary'!F20</f>
        <v>0</v>
      </c>
      <c r="L64" s="138">
        <f>L27-'Table 3.10-NonPARS Wst Summary'!B20</f>
        <v>0</v>
      </c>
      <c r="M64" s="352"/>
      <c r="P64" s="151"/>
      <c r="Q64" s="151"/>
      <c r="R64" s="151"/>
      <c r="S64" s="151"/>
      <c r="T64" s="151"/>
      <c r="U64" s="151"/>
      <c r="V64" s="151"/>
      <c r="W64" s="151"/>
      <c r="X64" s="151"/>
      <c r="Y64" s="151"/>
    </row>
    <row r="65" spans="4:25" ht="12.75" hidden="1">
      <c r="D65" s="48"/>
      <c r="E65" s="138">
        <v>0</v>
      </c>
      <c r="F65" s="138">
        <v>0</v>
      </c>
      <c r="G65" s="138">
        <v>0</v>
      </c>
      <c r="H65" s="138">
        <f>G47-'Table 3.13-COA Costs'!N79</f>
        <v>0</v>
      </c>
      <c r="I65" s="138">
        <f>G50-'Table 3.43-Elec Notice'!L15</f>
        <v>0</v>
      </c>
      <c r="J65" s="138">
        <f>J50-'Table 3.43-Elec Notice'!R15</f>
        <v>0</v>
      </c>
      <c r="K65" s="138">
        <f>M50-'Table 3.43-Elec Notice'!F15</f>
        <v>0</v>
      </c>
      <c r="L65" s="138">
        <f>G51-'Table 3.43-Elec Notice'!L27</f>
        <v>0</v>
      </c>
      <c r="M65" s="138">
        <f>SUM(H51:H52)/I51-'Table 3.43-Elec Notice'!R27</f>
        <v>0</v>
      </c>
      <c r="N65" s="138">
        <f>SUM(K51:K52)/L51-'Table 3.43-Elec Notice'!F27</f>
        <v>0</v>
      </c>
      <c r="P65" s="151"/>
      <c r="Q65" s="151"/>
      <c r="R65" s="151"/>
      <c r="S65" s="151"/>
      <c r="T65" s="151"/>
      <c r="U65" s="151"/>
      <c r="V65" s="151"/>
      <c r="W65" s="151"/>
      <c r="X65" s="151"/>
      <c r="Y65" s="151"/>
    </row>
    <row r="66" spans="4:25" ht="12.75" hidden="1">
      <c r="D66" s="48"/>
      <c r="E66" s="352"/>
      <c r="F66" s="352"/>
      <c r="G66" s="352"/>
      <c r="H66" s="138">
        <f>M56-'Table 3.41-Man Notice'!F25</f>
        <v>0</v>
      </c>
      <c r="I66" s="138">
        <f>M57-'Table 3.41-Man Notice'!F33</f>
        <v>0</v>
      </c>
      <c r="J66" s="138">
        <f>M58-'Table 3.41-Man Notice'!F35</f>
        <v>0</v>
      </c>
      <c r="K66" s="27"/>
      <c r="L66" s="352"/>
      <c r="M66" s="352"/>
      <c r="N66" s="27"/>
      <c r="P66" s="151"/>
      <c r="Q66" s="151"/>
      <c r="R66" s="151"/>
      <c r="S66" s="151"/>
      <c r="T66" s="151"/>
      <c r="U66" s="151"/>
      <c r="V66" s="151"/>
      <c r="W66" s="151"/>
      <c r="X66" s="151"/>
      <c r="Y66" s="151"/>
    </row>
    <row r="67" spans="4:25" ht="12.75" hidden="1">
      <c r="D67" s="48"/>
      <c r="E67" s="352"/>
      <c r="F67" s="352"/>
      <c r="G67" s="352"/>
      <c r="H67" s="352"/>
      <c r="I67" s="352"/>
      <c r="J67" s="352"/>
      <c r="K67" s="352"/>
      <c r="L67" s="352"/>
      <c r="M67" s="352"/>
      <c r="P67" s="151"/>
      <c r="Q67" s="151"/>
      <c r="R67" s="151"/>
      <c r="S67" s="151"/>
      <c r="T67" s="151"/>
      <c r="U67" s="151"/>
      <c r="V67" s="151"/>
      <c r="W67" s="151"/>
      <c r="X67" s="151"/>
      <c r="Y67" s="151"/>
    </row>
    <row r="68" spans="4:25" ht="12.75" hidden="1">
      <c r="D68" s="48"/>
      <c r="E68" s="352"/>
      <c r="F68" s="352"/>
      <c r="G68" s="352"/>
      <c r="H68" s="352"/>
      <c r="I68" s="352"/>
      <c r="J68" s="352"/>
      <c r="K68" s="352"/>
      <c r="L68" s="352"/>
      <c r="M68" s="352"/>
      <c r="P68" s="151"/>
      <c r="Q68" s="151"/>
      <c r="R68" s="151"/>
      <c r="S68" s="151"/>
      <c r="T68" s="151"/>
      <c r="U68" s="151"/>
      <c r="V68" s="151"/>
      <c r="W68" s="151"/>
      <c r="X68" s="151"/>
      <c r="Y68" s="151"/>
    </row>
    <row r="69" spans="6:25" ht="12.75" hidden="1">
      <c r="F69" s="27"/>
      <c r="G69" s="342" t="s">
        <v>351</v>
      </c>
      <c r="H69" s="32">
        <f>SUM('Table 3.2-Total Fwd Summary'!F34,'Table 3.5-Total RTS Summary'!F38,'Table 3.8-Total Wst Summary'!F19)</f>
        <v>1263066.8052476598</v>
      </c>
      <c r="I69" s="32">
        <f>SUM(E41,H41,K41)</f>
        <v>1263066.8052476598</v>
      </c>
      <c r="J69" s="138">
        <f aca="true" t="shared" si="1" ref="J69:J74">H69-I69</f>
        <v>0</v>
      </c>
      <c r="K69" s="352"/>
      <c r="L69" s="352"/>
      <c r="M69" s="482" t="s">
        <v>311</v>
      </c>
      <c r="N69" s="6">
        <f>SUM('Table 3.14-Route UAA'!J103,'Table 3.14-Route UAA'!J109,'Table 3.14-Route UAA'!J111)</f>
        <v>243192.80260705663</v>
      </c>
      <c r="O69" s="6">
        <f aca="true" t="shared" si="2" ref="O69:O75">E34+H34+K34</f>
        <v>243192.80260705666</v>
      </c>
      <c r="P69" s="515"/>
      <c r="Q69" s="151"/>
      <c r="R69" s="151"/>
      <c r="S69" s="151"/>
      <c r="T69" s="151"/>
      <c r="U69" s="151"/>
      <c r="V69" s="151"/>
      <c r="W69" s="151"/>
      <c r="X69" s="151"/>
      <c r="Y69" s="151"/>
    </row>
    <row r="70" spans="6:25" ht="12.75" hidden="1">
      <c r="F70" s="27"/>
      <c r="G70" s="342" t="s">
        <v>352</v>
      </c>
      <c r="H70" s="32">
        <f>'Table 3.13-COA Costs'!D79*'Table 3.13-COA Costs'!N79</f>
        <v>76069.7914422596</v>
      </c>
      <c r="I70" s="32">
        <f>K47</f>
        <v>76069.7914422596</v>
      </c>
      <c r="J70" s="138">
        <f t="shared" si="1"/>
        <v>0</v>
      </c>
      <c r="K70" s="352"/>
      <c r="L70" s="352"/>
      <c r="M70" s="46" t="s">
        <v>312</v>
      </c>
      <c r="N70" s="6">
        <f>'Table 3.18-Nixie UAA'!I40+'Table 3.31-Rating Post Due'!H27-SUM('Table 3.18-Nixie UAA'!I26:I27)</f>
        <v>101261.29636818917</v>
      </c>
      <c r="O70" s="6">
        <f t="shared" si="2"/>
        <v>101261.29636818919</v>
      </c>
      <c r="P70" s="515"/>
      <c r="Q70" s="151"/>
      <c r="R70" s="151"/>
      <c r="S70" s="151"/>
      <c r="T70" s="151"/>
      <c r="U70" s="151"/>
      <c r="V70" s="151"/>
      <c r="W70" s="151"/>
      <c r="X70" s="151"/>
      <c r="Y70" s="151"/>
    </row>
    <row r="71" spans="6:25" ht="12.75" hidden="1">
      <c r="F71" s="27"/>
      <c r="G71" s="347" t="s">
        <v>774</v>
      </c>
      <c r="H71" s="32">
        <f>SUM('Table 3.27-REC Detail ACS'!K49:K50)+SUM('Table 3.19-CFS UAA'!J16,'Table 3.19-CFS UAA'!J29,'Table 3.19-CFS UAA'!J47,'Table 3.19-CFS UAA'!J60)+SUM('Table 3.18-Nixie UAA'!I26:I27)</f>
        <v>94395.291709456</v>
      </c>
      <c r="I71" s="32">
        <f>K53</f>
        <v>94395.29170945601</v>
      </c>
      <c r="J71" s="138">
        <f t="shared" si="1"/>
        <v>0</v>
      </c>
      <c r="K71" s="352"/>
      <c r="L71" s="352"/>
      <c r="M71" s="46" t="s">
        <v>313</v>
      </c>
      <c r="N71" s="6">
        <f>SUM('Table 3.19-CFS UAA'!J77,'Table 3.19-CFS UAA'!J90)+SUM('Table 3.20-CFS Non-CIOSS'!H45,'Table 3.20-CFS Non-CIOSS'!H50,'Table 3.20-CFS Non-CIOSS'!H56,'Table 3.20-CFS Non-CIOSS'!H61)</f>
        <v>51771.78314387024</v>
      </c>
      <c r="O71" s="6">
        <f t="shared" si="2"/>
        <v>51771.78314387024</v>
      </c>
      <c r="P71" s="515"/>
      <c r="Q71" s="151"/>
      <c r="R71" s="151"/>
      <c r="S71" s="151"/>
      <c r="T71" s="151"/>
      <c r="U71" s="151"/>
      <c r="V71" s="151"/>
      <c r="W71" s="151"/>
      <c r="X71" s="151"/>
      <c r="Y71" s="151"/>
    </row>
    <row r="72" spans="6:25" ht="12.75" hidden="1">
      <c r="F72" s="27"/>
      <c r="G72" s="342" t="s">
        <v>353</v>
      </c>
      <c r="H72" s="32">
        <f>SUM('Table 3.11-Form3547 Costs'!H6,'Table 3.11-Form3547 Costs'!H13,'Table 3.11-Form3547 Costs'!H19)*'Table 3.11-Form3547 Costs'!P21+SUM('Table 3.11-Form3547 Costs'!H28:H29,'Table 3.11-Form3547 Costs'!H36:H37,'Table 3.11-Form3547 Costs'!H43)*'Table 3.11-Form3547 Costs'!P45+SUM('Table 3.12-Form3579 Costs'!H7:H8)*'Table 3.12-Form3579 Costs'!P12</f>
        <v>46839.67892295099</v>
      </c>
      <c r="I72" s="32">
        <f>K58</f>
        <v>46839.67892295099</v>
      </c>
      <c r="J72" s="138">
        <f t="shared" si="1"/>
        <v>0</v>
      </c>
      <c r="K72" s="352"/>
      <c r="L72" s="352"/>
      <c r="M72" s="483" t="s">
        <v>502</v>
      </c>
      <c r="N72" s="6">
        <f>'Table 3.23-CIOSS Summary'!I14</f>
        <v>66876.54305037048</v>
      </c>
      <c r="O72" s="6">
        <f t="shared" si="2"/>
        <v>66876.54305037047</v>
      </c>
      <c r="P72" s="515"/>
      <c r="Q72" s="151"/>
      <c r="R72" s="151"/>
      <c r="S72" s="151"/>
      <c r="T72" s="151"/>
      <c r="U72" s="151"/>
      <c r="V72" s="151"/>
      <c r="W72" s="151"/>
      <c r="X72" s="151"/>
      <c r="Y72" s="151"/>
    </row>
    <row r="73" spans="6:25" ht="12.75" hidden="1">
      <c r="F73" s="27"/>
      <c r="G73" s="342" t="s">
        <v>354</v>
      </c>
      <c r="H73" s="32"/>
      <c r="I73" s="32"/>
      <c r="J73" s="138">
        <f t="shared" si="1"/>
        <v>0</v>
      </c>
      <c r="K73" s="352"/>
      <c r="L73" s="352"/>
      <c r="M73" s="483" t="s">
        <v>503</v>
      </c>
      <c r="N73" s="6">
        <f>SUM('Table 3.25-REC Summary'!K14:K14)</f>
        <v>55021.51909435781</v>
      </c>
      <c r="O73" s="6">
        <f t="shared" si="2"/>
        <v>55021.519094357805</v>
      </c>
      <c r="P73" s="515"/>
      <c r="Q73" s="151"/>
      <c r="R73" s="151"/>
      <c r="S73" s="151"/>
      <c r="T73" s="151"/>
      <c r="U73" s="151"/>
      <c r="V73" s="151"/>
      <c r="W73" s="151"/>
      <c r="X73" s="151"/>
      <c r="Y73" s="151"/>
    </row>
    <row r="74" spans="6:25" ht="12.75" hidden="1">
      <c r="F74" s="27"/>
      <c r="G74" s="342"/>
      <c r="H74" s="32">
        <f>SUM(H69:H73)</f>
        <v>1480371.5673223264</v>
      </c>
      <c r="I74" s="32">
        <f>SUM(I69:I73)</f>
        <v>1480371.5673223266</v>
      </c>
      <c r="J74" s="138">
        <f t="shared" si="1"/>
        <v>0</v>
      </c>
      <c r="K74" s="352"/>
      <c r="L74" s="352"/>
      <c r="M74" s="67" t="s">
        <v>518</v>
      </c>
      <c r="N74" s="6">
        <f>SUMPRODUCT('Table 3.29-UAA MP Units'!G6:G7,'Table 3.29-UAA MP Units'!G27:G28)</f>
        <v>702222.6155836978</v>
      </c>
      <c r="O74" s="6">
        <f t="shared" si="2"/>
        <v>702222.6155836977</v>
      </c>
      <c r="P74" s="515"/>
      <c r="Q74" s="151"/>
      <c r="R74" s="151"/>
      <c r="S74" s="151"/>
      <c r="T74" s="151"/>
      <c r="U74" s="151"/>
      <c r="V74" s="151"/>
      <c r="W74" s="151"/>
      <c r="X74" s="151"/>
      <c r="Y74" s="151"/>
    </row>
    <row r="75" spans="6:25" ht="12.75" hidden="1">
      <c r="F75" s="27"/>
      <c r="G75" s="342"/>
      <c r="H75" s="494"/>
      <c r="I75" s="494"/>
      <c r="J75" s="494"/>
      <c r="K75" s="352"/>
      <c r="L75" s="352"/>
      <c r="M75" s="67" t="s">
        <v>315</v>
      </c>
      <c r="N75" s="6">
        <f>SUM('Table 3.32-Accounting Post Due'!D4:D11)*'Table 3.32-Accounting Post Due'!F4+SUM('Table 3.33-Delivery Post Due'!D5:D18)*'Table 3.33-Delivery Post Due'!F5+SUM('Table 3.34-Window Post Due'!D4:D11)*'Table 3.34-Window Post Due'!F4+'Table 3.36-Process Form 3546'!B4*'Table 3.36-Process Form 3546'!J17</f>
        <v>42720.24540011773</v>
      </c>
      <c r="O75" s="6">
        <f t="shared" si="2"/>
        <v>42720.24540011773</v>
      </c>
      <c r="P75" s="515"/>
      <c r="Q75" s="151"/>
      <c r="R75" s="151"/>
      <c r="S75" s="151"/>
      <c r="T75" s="151"/>
      <c r="U75" s="151"/>
      <c r="V75" s="151"/>
      <c r="W75" s="151"/>
      <c r="X75" s="151"/>
      <c r="Y75" s="151"/>
    </row>
    <row r="76" spans="7:25" ht="12.75" hidden="1">
      <c r="G76" s="48"/>
      <c r="H76" s="165"/>
      <c r="I76" s="165"/>
      <c r="J76" s="165"/>
      <c r="K76" s="352"/>
      <c r="L76" s="352"/>
      <c r="M76" s="46" t="s">
        <v>314</v>
      </c>
      <c r="N76" s="6">
        <f>SUM(N69:N75)</f>
        <v>1263066.8052476598</v>
      </c>
      <c r="O76" s="6">
        <f>SUM(O69:O75)</f>
        <v>1263066.8052476598</v>
      </c>
      <c r="P76" s="515"/>
      <c r="Q76" s="151"/>
      <c r="R76" s="151"/>
      <c r="S76" s="151"/>
      <c r="T76" s="151"/>
      <c r="U76" s="151"/>
      <c r="V76" s="151"/>
      <c r="W76" s="151"/>
      <c r="X76" s="151"/>
      <c r="Y76" s="151"/>
    </row>
    <row r="77" spans="2:25" ht="12.75">
      <c r="B77" s="283"/>
      <c r="C77" s="283"/>
      <c r="D77" s="283"/>
      <c r="E77" s="326"/>
      <c r="F77" s="326"/>
      <c r="G77" s="283"/>
      <c r="H77" s="283"/>
      <c r="I77" s="283"/>
      <c r="J77" s="283"/>
      <c r="K77" s="283"/>
      <c r="P77" s="151"/>
      <c r="Q77" s="151"/>
      <c r="R77" s="151"/>
      <c r="S77" s="151"/>
      <c r="T77" s="151"/>
      <c r="U77" s="151"/>
      <c r="V77" s="151"/>
      <c r="W77" s="151"/>
      <c r="X77" s="151"/>
      <c r="Y77" s="151"/>
    </row>
    <row r="78" spans="2:25" ht="12.75">
      <c r="B78" t="s">
        <v>235</v>
      </c>
      <c r="P78" s="608"/>
      <c r="Q78" s="151"/>
      <c r="R78" s="151"/>
      <c r="S78" s="151"/>
      <c r="T78" s="151"/>
      <c r="U78" s="151"/>
      <c r="V78" s="151"/>
      <c r="W78" s="151"/>
      <c r="X78" s="151"/>
      <c r="Y78" s="151"/>
    </row>
    <row r="79" spans="2:7" ht="12.75">
      <c r="B79" s="12" t="s">
        <v>568</v>
      </c>
      <c r="G79" s="12" t="s">
        <v>27</v>
      </c>
    </row>
    <row r="80" spans="2:7" ht="12.75">
      <c r="B80" s="12" t="s">
        <v>569</v>
      </c>
      <c r="G80" s="12" t="s">
        <v>573</v>
      </c>
    </row>
    <row r="81" spans="2:7" ht="12.75">
      <c r="B81" s="12" t="s">
        <v>570</v>
      </c>
      <c r="G81" s="12" t="s">
        <v>28</v>
      </c>
    </row>
    <row r="82" spans="2:7" ht="12.75">
      <c r="B82" s="13" t="s">
        <v>776</v>
      </c>
      <c r="G82" s="12" t="s">
        <v>29</v>
      </c>
    </row>
    <row r="83" spans="2:7" ht="12.75">
      <c r="B83" s="12" t="s">
        <v>777</v>
      </c>
      <c r="G83" s="12" t="s">
        <v>617</v>
      </c>
    </row>
    <row r="84" spans="2:7" ht="12.75">
      <c r="B84" s="12" t="s">
        <v>571</v>
      </c>
      <c r="G84" s="12" t="s">
        <v>47</v>
      </c>
    </row>
    <row r="85" ht="12.75">
      <c r="B85" s="12" t="s">
        <v>572</v>
      </c>
    </row>
  </sheetData>
  <sheetProtection/>
  <printOptions horizontalCentered="1"/>
  <pageMargins left="0.75" right="0.75" top="1" bottom="1" header="0.5" footer="0.5"/>
  <pageSetup fitToHeight="1" fitToWidth="1" horizontalDpi="600" verticalDpi="600" orientation="landscape" scale="55" r:id="rId3"/>
  <headerFooter alignWithMargins="0">
    <oddFooter>&amp;L&amp;F</oddFooter>
  </headerFooter>
  <legacyDrawing r:id="rId2"/>
</worksheet>
</file>

<file path=xl/worksheets/sheet20.xml><?xml version="1.0" encoding="utf-8"?>
<worksheet xmlns="http://schemas.openxmlformats.org/spreadsheetml/2006/main" xmlns:r="http://schemas.openxmlformats.org/officeDocument/2006/relationships">
  <dimension ref="A1:S136"/>
  <sheetViews>
    <sheetView zoomScale="70" zoomScaleNormal="70" zoomScalePageLayoutView="0" workbookViewId="0" topLeftCell="A1">
      <selection activeCell="A1" sqref="A1"/>
    </sheetView>
  </sheetViews>
  <sheetFormatPr defaultColWidth="9.140625" defaultRowHeight="12.75"/>
  <cols>
    <col min="1" max="1" width="31.57421875" style="11" customWidth="1"/>
    <col min="2" max="2" width="11.7109375" style="0" customWidth="1"/>
    <col min="3" max="3" width="2.7109375" style="0" customWidth="1"/>
    <col min="4" max="4" width="11.7109375" style="64" customWidth="1"/>
    <col min="5" max="5" width="2.7109375" style="64" customWidth="1"/>
    <col min="6" max="6" width="11.7109375" style="64" customWidth="1"/>
    <col min="7" max="7" width="2.7109375" style="64" customWidth="1"/>
    <col min="8" max="8" width="11.7109375" style="78" customWidth="1"/>
    <col min="9" max="9" width="2.7109375" style="78" customWidth="1"/>
    <col min="10" max="11" width="11.7109375" style="64" customWidth="1"/>
    <col min="12" max="16384" width="9.140625" style="11" customWidth="1"/>
  </cols>
  <sheetData>
    <row r="1" spans="1:11" ht="15.75" customHeight="1">
      <c r="A1" s="158" t="s">
        <v>559</v>
      </c>
      <c r="D1" s="24"/>
      <c r="E1" s="24"/>
      <c r="F1" s="24"/>
      <c r="G1" s="24"/>
      <c r="H1" s="24"/>
      <c r="I1" s="24"/>
      <c r="J1" s="24"/>
      <c r="K1" s="24"/>
    </row>
    <row r="2" spans="1:11" ht="15.75">
      <c r="A2" s="158" t="s">
        <v>787</v>
      </c>
      <c r="D2" s="24"/>
      <c r="E2" s="24"/>
      <c r="F2" s="24"/>
      <c r="G2" s="24"/>
      <c r="H2" s="24"/>
      <c r="I2" s="24"/>
      <c r="J2" s="24"/>
      <c r="K2" s="24"/>
    </row>
    <row r="3" spans="1:11" ht="25.5" customHeight="1">
      <c r="A3" s="89"/>
      <c r="B3" s="168" t="s">
        <v>222</v>
      </c>
      <c r="C3" s="168"/>
      <c r="D3" s="189" t="s">
        <v>217</v>
      </c>
      <c r="E3" s="189"/>
      <c r="F3" s="198" t="s">
        <v>104</v>
      </c>
      <c r="G3" s="198"/>
      <c r="H3" s="199" t="s">
        <v>251</v>
      </c>
      <c r="I3" s="199"/>
      <c r="J3" s="160" t="s">
        <v>218</v>
      </c>
      <c r="K3" s="41" t="s">
        <v>133</v>
      </c>
    </row>
    <row r="4" spans="1:11" ht="15.75">
      <c r="A4" s="158" t="s">
        <v>434</v>
      </c>
      <c r="B4" s="168"/>
      <c r="C4" s="168"/>
      <c r="D4" s="189"/>
      <c r="E4" s="189"/>
      <c r="F4" s="198"/>
      <c r="G4" s="198"/>
      <c r="H4" s="199"/>
      <c r="I4" s="199"/>
      <c r="J4" s="160"/>
      <c r="K4" s="41"/>
    </row>
    <row r="5" spans="1:11" ht="4.5" customHeight="1">
      <c r="A5" s="158"/>
      <c r="B5" s="168"/>
      <c r="C5" s="168"/>
      <c r="D5" s="189"/>
      <c r="E5" s="189"/>
      <c r="F5" s="198"/>
      <c r="G5" s="198"/>
      <c r="H5" s="199"/>
      <c r="I5" s="199"/>
      <c r="J5" s="160"/>
      <c r="K5" s="41"/>
    </row>
    <row r="6" spans="1:11" ht="12.75">
      <c r="A6" s="453" t="s">
        <v>291</v>
      </c>
      <c r="B6" s="168"/>
      <c r="C6" s="168"/>
      <c r="D6" s="189"/>
      <c r="E6" s="189"/>
      <c r="F6" s="198"/>
      <c r="G6" s="198"/>
      <c r="H6" s="199"/>
      <c r="I6" s="199"/>
      <c r="J6" s="160"/>
      <c r="K6" s="41"/>
    </row>
    <row r="7" spans="1:11" ht="12.75">
      <c r="A7" s="82" t="s">
        <v>173</v>
      </c>
      <c r="B7" s="6"/>
      <c r="C7" s="6"/>
      <c r="D7" s="52"/>
      <c r="E7" s="52"/>
      <c r="F7" s="86"/>
      <c r="G7" s="86"/>
      <c r="H7" s="104"/>
      <c r="I7" s="54"/>
      <c r="J7" s="39"/>
      <c r="K7" s="88"/>
    </row>
    <row r="8" spans="1:11" ht="12.75">
      <c r="A8" s="338" t="s">
        <v>130</v>
      </c>
      <c r="B8" s="105">
        <f>SUM('Table 3.20-CFS Non-CIOSS'!B7,'Table 3.20-CFS Non-CIOSS'!B12,'Table 3.20-CFS Non-CIOSS'!B17)</f>
        <v>0</v>
      </c>
      <c r="C8" s="292" t="s">
        <v>238</v>
      </c>
      <c r="D8" s="196">
        <f>SUM('Table 3.20-CFS Non-CIOSS'!C7,'Table 3.20-CFS Non-CIOSS'!C12,'Table 3.20-CFS Non-CIOSS'!C17)</f>
        <v>0</v>
      </c>
      <c r="E8" s="292" t="s">
        <v>238</v>
      </c>
      <c r="F8" s="83" t="str">
        <f>IF(ISERROR(D8/B8),"n/a",D8/B8)</f>
        <v>n/a</v>
      </c>
      <c r="G8" s="92"/>
      <c r="H8" s="54">
        <v>1.5595101237373266</v>
      </c>
      <c r="I8" s="54"/>
      <c r="J8" s="46">
        <f>D8*$H8</f>
        <v>0</v>
      </c>
      <c r="K8" s="83" t="str">
        <f>IF(ISERROR(J8/B8),"n/a",J8/B8)</f>
        <v>n/a</v>
      </c>
    </row>
    <row r="9" spans="1:11" ht="12.75">
      <c r="A9" s="338" t="s">
        <v>292</v>
      </c>
      <c r="B9" s="105">
        <f>SUM('Table 3.20-CFS Non-CIOSS'!B8,'Table 3.20-CFS Non-CIOSS'!B13,'Table 3.20-CFS Non-CIOSS'!B18)</f>
        <v>150843.8666542048</v>
      </c>
      <c r="C9" s="292" t="s">
        <v>238</v>
      </c>
      <c r="D9" s="196">
        <f>SUM('Table 3.20-CFS Non-CIOSS'!C8,'Table 3.20-CFS Non-CIOSS'!C13,'Table 3.20-CFS Non-CIOSS'!C18)</f>
        <v>22958.09444681456</v>
      </c>
      <c r="E9" s="292" t="s">
        <v>238</v>
      </c>
      <c r="F9" s="83">
        <f>IF(ISERROR(D9/B9),"n/a",D9/B9)</f>
        <v>0.15219773237080833</v>
      </c>
      <c r="G9" s="92"/>
      <c r="H9" s="54">
        <v>1.5595101237373266</v>
      </c>
      <c r="I9" s="54"/>
      <c r="J9" s="46">
        <f>D9*$H9</f>
        <v>35803.380711525</v>
      </c>
      <c r="K9" s="83">
        <f>IF(ISERROR(J9/B9),"n/a",J9/B9)</f>
        <v>0.2373539044421398</v>
      </c>
    </row>
    <row r="10" spans="1:11" ht="4.5" customHeight="1">
      <c r="A10" s="89"/>
      <c r="B10" s="200"/>
      <c r="C10" s="200"/>
      <c r="D10" s="204"/>
      <c r="E10" s="200"/>
      <c r="F10" s="201"/>
      <c r="G10" s="198"/>
      <c r="H10" s="199"/>
      <c r="I10" s="199"/>
      <c r="J10" s="205"/>
      <c r="K10" s="83"/>
    </row>
    <row r="11" spans="1:11" ht="12.75">
      <c r="A11" s="82" t="s">
        <v>176</v>
      </c>
      <c r="B11" s="135"/>
      <c r="C11" s="135"/>
      <c r="D11" s="196"/>
      <c r="E11" s="135"/>
      <c r="F11" s="92"/>
      <c r="G11" s="48"/>
      <c r="H11" s="48"/>
      <c r="I11" s="48"/>
      <c r="J11" s="196"/>
      <c r="K11" s="92"/>
    </row>
    <row r="12" spans="1:11" ht="12.75">
      <c r="A12" s="338" t="s">
        <v>130</v>
      </c>
      <c r="B12" s="105">
        <f>SUM('Table 3.20-CFS Non-CIOSS'!B23,'Table 3.20-CFS Non-CIOSS'!B28,'Table 3.20-CFS Non-CIOSS'!B33)</f>
        <v>0</v>
      </c>
      <c r="C12" s="292" t="s">
        <v>238</v>
      </c>
      <c r="D12" s="196">
        <f>SUM('Table 3.20-CFS Non-CIOSS'!C23,'Table 3.20-CFS Non-CIOSS'!C28,'Table 3.20-CFS Non-CIOSS'!C33)</f>
        <v>0</v>
      </c>
      <c r="E12" s="292" t="s">
        <v>238</v>
      </c>
      <c r="F12" s="83" t="str">
        <f>IF(ISERROR(D12/B12),"n/a",D12/B12)</f>
        <v>n/a</v>
      </c>
      <c r="G12" s="92"/>
      <c r="H12" s="54">
        <v>1.5595101237373266</v>
      </c>
      <c r="I12" s="54"/>
      <c r="J12" s="46">
        <f>D12*$H12</f>
        <v>0</v>
      </c>
      <c r="K12" s="83" t="str">
        <f>IF(ISERROR(J12/B12),"n/a",J12/B12)</f>
        <v>n/a</v>
      </c>
    </row>
    <row r="13" spans="1:11" ht="12.75">
      <c r="A13" s="338" t="s">
        <v>292</v>
      </c>
      <c r="B13" s="105">
        <f>SUM('Table 3.20-CFS Non-CIOSS'!B24,'Table 3.20-CFS Non-CIOSS'!B29,'Table 3.20-CFS Non-CIOSS'!B34)</f>
        <v>73864.33973089083</v>
      </c>
      <c r="C13" s="292" t="s">
        <v>238</v>
      </c>
      <c r="D13" s="196">
        <f>SUM('Table 3.20-CFS Non-CIOSS'!C24,'Table 3.20-CFS Non-CIOSS'!C29,'Table 3.20-CFS Non-CIOSS'!C34)</f>
        <v>20602.309987605</v>
      </c>
      <c r="E13" s="292" t="s">
        <v>238</v>
      </c>
      <c r="F13" s="83">
        <f>IF(ISERROR(D13/B13),"n/a",D13/B13)</f>
        <v>0.2789209253432059</v>
      </c>
      <c r="G13" s="92"/>
      <c r="H13" s="54">
        <v>1.5595101237373266</v>
      </c>
      <c r="I13" s="54"/>
      <c r="J13" s="46">
        <f>D13*$H13</f>
        <v>32129.510998044632</v>
      </c>
      <c r="K13" s="83">
        <f>IF(ISERROR(J13/B13),"n/a",J13/B13)</f>
        <v>0.43498000679491267</v>
      </c>
    </row>
    <row r="14" spans="1:11" ht="4.5" customHeight="1">
      <c r="A14" s="89"/>
      <c r="B14" s="200"/>
      <c r="C14" s="200"/>
      <c r="D14" s="204"/>
      <c r="E14" s="204"/>
      <c r="F14" s="201"/>
      <c r="G14" s="198"/>
      <c r="H14" s="199"/>
      <c r="I14" s="199"/>
      <c r="J14" s="205"/>
      <c r="K14" s="83"/>
    </row>
    <row r="15" spans="1:11" ht="12.75">
      <c r="A15" s="338" t="s">
        <v>177</v>
      </c>
      <c r="B15" s="44">
        <f>SUM(B8:B9)</f>
        <v>150843.8666542048</v>
      </c>
      <c r="C15" s="44"/>
      <c r="D15" s="196">
        <f>SUM(D8:D9)</f>
        <v>22958.09444681456</v>
      </c>
      <c r="E15" s="196"/>
      <c r="F15" s="83">
        <f>IF(ISERROR(D15/B15),"n/a",D15/B15)</f>
        <v>0.15219773237080833</v>
      </c>
      <c r="G15" s="41"/>
      <c r="H15" s="75"/>
      <c r="I15" s="75"/>
      <c r="J15" s="46">
        <f>SUM(J8:J9)</f>
        <v>35803.380711525</v>
      </c>
      <c r="K15" s="83">
        <f>IF(ISERROR(J15/B15),"n/a",J15/B15)</f>
        <v>0.2373539044421398</v>
      </c>
    </row>
    <row r="16" spans="1:11" ht="12.75">
      <c r="A16" s="338" t="s">
        <v>178</v>
      </c>
      <c r="B16" s="44">
        <f>SUM(B12:B13)</f>
        <v>73864.33973089083</v>
      </c>
      <c r="C16" s="44"/>
      <c r="D16" s="196">
        <f>SUM(D12:D13)</f>
        <v>20602.309987605</v>
      </c>
      <c r="E16" s="196"/>
      <c r="F16" s="83">
        <f>IF(ISERROR(D16/B16),"n/a",D16/B16)</f>
        <v>0.2789209253432059</v>
      </c>
      <c r="G16" s="202"/>
      <c r="H16" s="203"/>
      <c r="I16" s="203"/>
      <c r="J16" s="46">
        <f>SUM(J12:J13)</f>
        <v>32129.510998044632</v>
      </c>
      <c r="K16" s="83">
        <f>IF(ISERROR(J16/B16),"n/a",J16/B16)</f>
        <v>0.43498000679491267</v>
      </c>
    </row>
    <row r="17" spans="1:11" ht="12.75">
      <c r="A17" s="338" t="s">
        <v>102</v>
      </c>
      <c r="B17" s="44">
        <f>B15</f>
        <v>150843.8666542048</v>
      </c>
      <c r="C17" s="44"/>
      <c r="D17" s="196">
        <f>SUM(D16,D15)</f>
        <v>43560.40443441956</v>
      </c>
      <c r="E17" s="196"/>
      <c r="F17" s="83">
        <f>IF(ISERROR(D17/B17),"n/a",D17/B17)</f>
        <v>0.28877809486465655</v>
      </c>
      <c r="G17" s="41"/>
      <c r="H17" s="75"/>
      <c r="I17" s="75"/>
      <c r="J17" s="46">
        <f>SUM(J16,J15)</f>
        <v>67932.89170956964</v>
      </c>
      <c r="K17" s="83">
        <f>IF(ISERROR(J17/B17),"n/a",J17/B17)</f>
        <v>0.45035236245501004</v>
      </c>
    </row>
    <row r="18" spans="1:11" ht="12.75">
      <c r="A18" s="16"/>
      <c r="B18" s="44"/>
      <c r="C18" s="44"/>
      <c r="D18" s="196"/>
      <c r="E18" s="196"/>
      <c r="F18" s="83"/>
      <c r="G18" s="41"/>
      <c r="H18" s="75"/>
      <c r="I18" s="75"/>
      <c r="J18" s="46"/>
      <c r="K18" s="83"/>
    </row>
    <row r="19" spans="1:19" ht="12.75">
      <c r="A19" s="15" t="s">
        <v>782</v>
      </c>
      <c r="B19" s="44"/>
      <c r="C19" s="285"/>
      <c r="D19" s="196"/>
      <c r="E19" s="285"/>
      <c r="F19" s="83"/>
      <c r="G19" s="41"/>
      <c r="H19" s="54"/>
      <c r="I19" s="75"/>
      <c r="J19" s="46"/>
      <c r="K19" s="83"/>
      <c r="M19" s="140"/>
      <c r="N19" s="140"/>
      <c r="O19" s="140"/>
      <c r="P19" s="140"/>
      <c r="Q19" s="140"/>
      <c r="R19" s="140"/>
      <c r="S19" s="140"/>
    </row>
    <row r="20" spans="1:19" ht="12.75">
      <c r="A20" s="82" t="s">
        <v>173</v>
      </c>
      <c r="B20" s="44"/>
      <c r="C20" s="285"/>
      <c r="D20" s="196"/>
      <c r="E20" s="285"/>
      <c r="F20" s="83"/>
      <c r="G20" s="41"/>
      <c r="H20" s="54"/>
      <c r="I20" s="75"/>
      <c r="J20" s="46"/>
      <c r="K20" s="83"/>
      <c r="M20" s="140"/>
      <c r="N20" s="140"/>
      <c r="O20" s="140"/>
      <c r="P20" s="140"/>
      <c r="Q20" s="140"/>
      <c r="R20" s="140"/>
      <c r="S20" s="140"/>
    </row>
    <row r="21" spans="1:19" ht="12.75">
      <c r="A21" s="338" t="s">
        <v>130</v>
      </c>
      <c r="B21" s="44">
        <f>SUM('Table 3.20-CFS Non-CIOSS'!B69,'Table 3.20-CFS Non-CIOSS'!B74)</f>
        <v>0</v>
      </c>
      <c r="C21" s="292" t="s">
        <v>238</v>
      </c>
      <c r="D21" s="196">
        <f>SUM('Table 3.20-CFS Non-CIOSS'!C69,'Table 3.20-CFS Non-CIOSS'!C74)</f>
        <v>0</v>
      </c>
      <c r="E21" s="292" t="s">
        <v>238</v>
      </c>
      <c r="F21" s="83" t="str">
        <f>IF(ISERROR(D21/B21),"n/a",D21/B21)</f>
        <v>n/a</v>
      </c>
      <c r="G21" s="41"/>
      <c r="H21" s="54">
        <v>1.5595101237373266</v>
      </c>
      <c r="I21" s="75"/>
      <c r="J21" s="46">
        <f>D21*$H21</f>
        <v>0</v>
      </c>
      <c r="K21" s="83" t="str">
        <f>IF(ISERROR(J21/B21),"n/a",J21/B21)</f>
        <v>n/a</v>
      </c>
      <c r="M21" s="140"/>
      <c r="N21" s="140"/>
      <c r="O21" s="140"/>
      <c r="P21" s="140"/>
      <c r="Q21" s="140"/>
      <c r="R21" s="140"/>
      <c r="S21" s="140"/>
    </row>
    <row r="22" spans="1:19" ht="12.75">
      <c r="A22" s="338" t="s">
        <v>292</v>
      </c>
      <c r="B22" s="44">
        <f>SUM('Table 3.20-CFS Non-CIOSS'!B70,'Table 3.20-CFS Non-CIOSS'!B75)</f>
        <v>63991.33722266703</v>
      </c>
      <c r="C22" s="292" t="s">
        <v>238</v>
      </c>
      <c r="D22" s="196">
        <f>SUM('Table 3.20-CFS Non-CIOSS'!C70,'Table 3.20-CFS Non-CIOSS'!C75)</f>
        <v>781.7572750414649</v>
      </c>
      <c r="E22" s="292" t="s">
        <v>238</v>
      </c>
      <c r="F22" s="83">
        <f>IF(ISERROR(D22/B22),"n/a",D22/B22)</f>
        <v>0.012216611012850511</v>
      </c>
      <c r="G22" s="41"/>
      <c r="H22" s="54">
        <v>1.5595101237373266</v>
      </c>
      <c r="I22" s="75"/>
      <c r="J22" s="46">
        <f>D22*$H22</f>
        <v>1219.1583847324703</v>
      </c>
      <c r="K22" s="83">
        <f>IF(ISERROR(J22/B22),"n/a",J22/B22)</f>
        <v>0.019051928552301287</v>
      </c>
      <c r="M22" s="140"/>
      <c r="N22" s="140"/>
      <c r="O22" s="140"/>
      <c r="P22" s="140"/>
      <c r="Q22" s="140"/>
      <c r="R22" s="140"/>
      <c r="S22" s="140"/>
    </row>
    <row r="23" spans="1:19" ht="4.5" customHeight="1">
      <c r="A23" s="89"/>
      <c r="B23" s="44"/>
      <c r="C23" s="285"/>
      <c r="D23" s="44"/>
      <c r="E23" s="285"/>
      <c r="F23" s="83"/>
      <c r="G23" s="41"/>
      <c r="H23" s="54"/>
      <c r="I23" s="75"/>
      <c r="J23" s="44"/>
      <c r="K23" s="83"/>
      <c r="M23" s="140"/>
      <c r="N23" s="140"/>
      <c r="O23" s="140"/>
      <c r="P23" s="140"/>
      <c r="Q23" s="140"/>
      <c r="R23" s="140"/>
      <c r="S23" s="140"/>
    </row>
    <row r="24" spans="1:19" ht="12.75">
      <c r="A24" s="82" t="s">
        <v>176</v>
      </c>
      <c r="B24" s="44"/>
      <c r="C24" s="285"/>
      <c r="D24" s="44"/>
      <c r="E24" s="285"/>
      <c r="F24" s="83"/>
      <c r="G24" s="41"/>
      <c r="H24" s="54"/>
      <c r="I24" s="75"/>
      <c r="J24" s="44"/>
      <c r="K24" s="83"/>
      <c r="M24" s="140"/>
      <c r="N24" s="140"/>
      <c r="O24" s="140"/>
      <c r="P24" s="140"/>
      <c r="Q24" s="140"/>
      <c r="R24" s="140"/>
      <c r="S24" s="140"/>
    </row>
    <row r="25" spans="1:19" ht="12.75">
      <c r="A25" s="338" t="s">
        <v>130</v>
      </c>
      <c r="B25" s="44">
        <f>SUM('Table 3.20-CFS Non-CIOSS'!B80,'Table 3.20-CFS Non-CIOSS'!B85)</f>
        <v>0</v>
      </c>
      <c r="C25" s="292" t="s">
        <v>238</v>
      </c>
      <c r="D25" s="196">
        <f>SUM('Table 3.20-CFS Non-CIOSS'!C80,'Table 3.20-CFS Non-CIOSS'!C85)</f>
        <v>0</v>
      </c>
      <c r="E25" s="292" t="s">
        <v>238</v>
      </c>
      <c r="F25" s="83" t="str">
        <f>IF(ISERROR(D25/B25),"n/a",D25/B25)</f>
        <v>n/a</v>
      </c>
      <c r="G25" s="41"/>
      <c r="H25" s="54">
        <v>1.5595101237373266</v>
      </c>
      <c r="I25" s="75"/>
      <c r="J25" s="46">
        <f>D25*$H25</f>
        <v>0</v>
      </c>
      <c r="K25" s="83" t="str">
        <f>IF(ISERROR(J25/B25),"n/a",J25/B25)</f>
        <v>n/a</v>
      </c>
      <c r="M25" s="140"/>
      <c r="N25" s="140"/>
      <c r="O25" s="140"/>
      <c r="P25" s="140"/>
      <c r="Q25" s="140"/>
      <c r="R25" s="140"/>
      <c r="S25" s="140"/>
    </row>
    <row r="26" spans="1:19" ht="12.75">
      <c r="A26" s="338" t="s">
        <v>292</v>
      </c>
      <c r="B26" s="44">
        <f>SUM('Table 3.20-CFS Non-CIOSS'!B81,'Table 3.20-CFS Non-CIOSS'!B86)</f>
        <v>63991.33722266703</v>
      </c>
      <c r="C26" s="292" t="s">
        <v>238</v>
      </c>
      <c r="D26" s="196">
        <f>SUM('Table 3.20-CFS Non-CIOSS'!C81,'Table 3.20-CFS Non-CIOSS'!C86)</f>
        <v>14326.555308416604</v>
      </c>
      <c r="E26" s="292" t="s">
        <v>238</v>
      </c>
      <c r="F26" s="83">
        <f>IF(ISERROR(D26/B26),"n/a",D26/B26)</f>
        <v>0.2238827305415622</v>
      </c>
      <c r="G26" s="41"/>
      <c r="H26" s="54">
        <v>1.5595101237373266</v>
      </c>
      <c r="I26" s="75"/>
      <c r="J26" s="46">
        <f>D26*$H26</f>
        <v>22342.40804175843</v>
      </c>
      <c r="K26" s="83">
        <f>IF(ISERROR(J26/B26),"n/a",J26/B26)</f>
        <v>0.34914738480952223</v>
      </c>
      <c r="M26" s="140"/>
      <c r="N26" s="140"/>
      <c r="O26" s="140"/>
      <c r="P26" s="140"/>
      <c r="Q26" s="140"/>
      <c r="R26" s="140"/>
      <c r="S26" s="140"/>
    </row>
    <row r="27" spans="1:19" ht="4.5" customHeight="1">
      <c r="A27" s="89"/>
      <c r="B27" s="44"/>
      <c r="C27" s="285"/>
      <c r="D27" s="196"/>
      <c r="E27" s="285"/>
      <c r="F27" s="83"/>
      <c r="G27" s="41"/>
      <c r="H27" s="54"/>
      <c r="I27" s="75"/>
      <c r="J27" s="46"/>
      <c r="K27" s="83"/>
      <c r="M27" s="140"/>
      <c r="N27" s="140"/>
      <c r="O27" s="140"/>
      <c r="P27" s="140"/>
      <c r="Q27" s="140"/>
      <c r="R27" s="140"/>
      <c r="S27" s="140"/>
    </row>
    <row r="28" spans="1:19" ht="12.75">
      <c r="A28" s="338" t="s">
        <v>177</v>
      </c>
      <c r="B28" s="44">
        <f>SUM(B21:B22)</f>
        <v>63991.33722266703</v>
      </c>
      <c r="C28" s="285"/>
      <c r="D28" s="196">
        <f>SUM(D21:D22)</f>
        <v>781.7572750414649</v>
      </c>
      <c r="E28" s="285"/>
      <c r="F28" s="83">
        <f>IF(ISERROR(D28/B28),"n/a",D28/B28)</f>
        <v>0.012216611012850511</v>
      </c>
      <c r="G28" s="41"/>
      <c r="H28" s="54">
        <v>1.5595101237373266</v>
      </c>
      <c r="I28" s="75"/>
      <c r="J28" s="46">
        <f>D28*$H28</f>
        <v>1219.1583847324703</v>
      </c>
      <c r="K28" s="83">
        <f>IF(ISERROR(J28/B28),"n/a",J28/B28)</f>
        <v>0.019051928552301287</v>
      </c>
      <c r="M28" s="140"/>
      <c r="N28" s="140"/>
      <c r="O28" s="140"/>
      <c r="P28" s="140"/>
      <c r="Q28" s="140"/>
      <c r="R28" s="140"/>
      <c r="S28" s="140"/>
    </row>
    <row r="29" spans="1:19" ht="12.75">
      <c r="A29" s="338" t="s">
        <v>178</v>
      </c>
      <c r="B29" s="44">
        <f>SUM(B25:B26)</f>
        <v>63991.33722266703</v>
      </c>
      <c r="C29" s="285"/>
      <c r="D29" s="196">
        <f>SUM(D25:D26)</f>
        <v>14326.555308416604</v>
      </c>
      <c r="E29" s="285"/>
      <c r="F29" s="83">
        <f>IF(ISERROR(D29/B29),"n/a",D29/B29)</f>
        <v>0.2238827305415622</v>
      </c>
      <c r="G29" s="41"/>
      <c r="H29" s="54">
        <v>1.5595101237373266</v>
      </c>
      <c r="I29" s="75"/>
      <c r="J29" s="46">
        <f>D29*$H29</f>
        <v>22342.40804175843</v>
      </c>
      <c r="K29" s="83">
        <f>IF(ISERROR(J29/B29),"n/a",J29/B29)</f>
        <v>0.34914738480952223</v>
      </c>
      <c r="M29" s="140"/>
      <c r="N29" s="140"/>
      <c r="O29" s="140"/>
      <c r="P29" s="140"/>
      <c r="Q29" s="140"/>
      <c r="R29" s="140"/>
      <c r="S29" s="140"/>
    </row>
    <row r="30" spans="1:13" ht="12.75" customHeight="1">
      <c r="A30" s="338" t="s">
        <v>102</v>
      </c>
      <c r="B30" s="44">
        <f>B29</f>
        <v>63991.33722266703</v>
      </c>
      <c r="C30" s="285"/>
      <c r="D30" s="196">
        <f>SUM(D28:D29)</f>
        <v>15108.31258345807</v>
      </c>
      <c r="E30" s="285"/>
      <c r="F30" s="83">
        <f>IF(ISERROR(D30/B30),"n/a",D30/B30)</f>
        <v>0.23609934155441276</v>
      </c>
      <c r="G30" s="41"/>
      <c r="H30" s="54"/>
      <c r="I30" s="75"/>
      <c r="J30" s="46">
        <f>SUM(J28:J29)</f>
        <v>23561.5664264909</v>
      </c>
      <c r="K30" s="83">
        <f>IF(ISERROR(J30/B30),"n/a",J30/B30)</f>
        <v>0.3681993133618235</v>
      </c>
      <c r="M30" s="140"/>
    </row>
    <row r="31" spans="1:13" ht="12.75" customHeight="1">
      <c r="A31" s="343"/>
      <c r="B31" s="44"/>
      <c r="C31" s="285"/>
      <c r="D31" s="196"/>
      <c r="E31" s="285"/>
      <c r="F31" s="83"/>
      <c r="G31" s="41"/>
      <c r="H31" s="54"/>
      <c r="I31" s="75"/>
      <c r="J31" s="46"/>
      <c r="K31" s="83"/>
      <c r="M31" s="140"/>
    </row>
    <row r="32" spans="1:13" ht="15.75" customHeight="1">
      <c r="A32" s="158" t="s">
        <v>647</v>
      </c>
      <c r="D32" s="24"/>
      <c r="E32" s="24"/>
      <c r="F32" s="24"/>
      <c r="G32" s="24"/>
      <c r="H32" s="24"/>
      <c r="I32" s="24"/>
      <c r="J32" s="24"/>
      <c r="K32" s="24"/>
      <c r="M32" s="140"/>
    </row>
    <row r="33" spans="1:13" ht="15.75" customHeight="1">
      <c r="A33" s="158" t="s">
        <v>787</v>
      </c>
      <c r="D33" s="24"/>
      <c r="E33" s="24"/>
      <c r="F33" s="24"/>
      <c r="G33" s="24"/>
      <c r="H33" s="24"/>
      <c r="I33" s="24"/>
      <c r="J33" s="24"/>
      <c r="K33" s="24"/>
      <c r="M33" s="140"/>
    </row>
    <row r="34" spans="1:13" ht="25.5" customHeight="1">
      <c r="A34" s="89"/>
      <c r="B34" s="168" t="s">
        <v>222</v>
      </c>
      <c r="C34" s="168"/>
      <c r="D34" s="189" t="s">
        <v>217</v>
      </c>
      <c r="E34" s="189"/>
      <c r="F34" s="198" t="s">
        <v>104</v>
      </c>
      <c r="G34" s="198"/>
      <c r="H34" s="199" t="s">
        <v>251</v>
      </c>
      <c r="I34" s="199"/>
      <c r="J34" s="160" t="s">
        <v>218</v>
      </c>
      <c r="K34" s="41" t="s">
        <v>133</v>
      </c>
      <c r="M34" s="140"/>
    </row>
    <row r="35" spans="1:13" ht="15.75">
      <c r="A35" s="158" t="s">
        <v>435</v>
      </c>
      <c r="B35" s="168"/>
      <c r="C35" s="168"/>
      <c r="D35" s="189"/>
      <c r="E35" s="189"/>
      <c r="F35" s="198"/>
      <c r="G35" s="198"/>
      <c r="H35" s="199"/>
      <c r="I35" s="199"/>
      <c r="J35" s="160"/>
      <c r="K35" s="41"/>
      <c r="M35" s="140"/>
    </row>
    <row r="36" spans="1:13" ht="4.5" customHeight="1">
      <c r="A36" s="158"/>
      <c r="B36" s="168"/>
      <c r="C36" s="168"/>
      <c r="D36" s="189"/>
      <c r="E36" s="189"/>
      <c r="F36" s="198"/>
      <c r="G36" s="198"/>
      <c r="H36" s="199"/>
      <c r="I36" s="199"/>
      <c r="J36" s="160"/>
      <c r="K36" s="41"/>
      <c r="M36" s="140"/>
    </row>
    <row r="37" spans="1:13" ht="12.75">
      <c r="A37" s="453" t="s">
        <v>291</v>
      </c>
      <c r="B37" s="168"/>
      <c r="C37" s="168"/>
      <c r="D37" s="189"/>
      <c r="E37" s="189"/>
      <c r="F37" s="198"/>
      <c r="G37" s="198"/>
      <c r="H37" s="199"/>
      <c r="I37" s="199"/>
      <c r="J37" s="160"/>
      <c r="K37" s="41"/>
      <c r="M37" s="140"/>
    </row>
    <row r="38" spans="1:13" ht="12.75">
      <c r="A38" s="82" t="s">
        <v>173</v>
      </c>
      <c r="B38" s="6"/>
      <c r="C38" s="6"/>
      <c r="D38" s="52"/>
      <c r="E38" s="52"/>
      <c r="F38" s="86"/>
      <c r="G38" s="86"/>
      <c r="H38" s="104"/>
      <c r="I38" s="54"/>
      <c r="J38" s="39"/>
      <c r="K38" s="88"/>
      <c r="M38" s="140"/>
    </row>
    <row r="39" spans="1:13" ht="12.75">
      <c r="A39" s="338" t="s">
        <v>130</v>
      </c>
      <c r="B39" s="105">
        <f>SUM('Table 3.21-CFS CIOSS Rejs'!B7,'Table 3.21-CFS CIOSS Rejs'!B12,'Table 3.21-CFS CIOSS Rejs'!B17)</f>
        <v>0</v>
      </c>
      <c r="C39" s="292" t="s">
        <v>240</v>
      </c>
      <c r="D39" s="196">
        <f>SUM('Table 3.21-CFS CIOSS Rejs'!C7,'Table 3.21-CFS CIOSS Rejs'!C12,'Table 3.21-CFS CIOSS Rejs'!C17)</f>
        <v>0</v>
      </c>
      <c r="E39" s="292" t="s">
        <v>240</v>
      </c>
      <c r="F39" s="83" t="str">
        <f>IF(ISERROR(D39/B39),"n/a",D39/B39)</f>
        <v>n/a</v>
      </c>
      <c r="G39" s="92"/>
      <c r="H39" s="54">
        <v>1.5595101237373266</v>
      </c>
      <c r="I39" s="54"/>
      <c r="J39" s="46">
        <f>D39*$H39</f>
        <v>0</v>
      </c>
      <c r="K39" s="83" t="str">
        <f>IF(ISERROR(J39/B39),"n/a",J39/B39)</f>
        <v>n/a</v>
      </c>
      <c r="M39" s="140"/>
    </row>
    <row r="40" spans="1:13" ht="12.75">
      <c r="A40" s="338" t="s">
        <v>292</v>
      </c>
      <c r="B40" s="105">
        <f>SUM('Table 3.21-CFS CIOSS Rejs'!B8,'Table 3.21-CFS CIOSS Rejs'!B13,'Table 3.21-CFS CIOSS Rejs'!B18)</f>
        <v>53787.98865680521</v>
      </c>
      <c r="C40" s="292" t="s">
        <v>240</v>
      </c>
      <c r="D40" s="196">
        <f>SUM('Table 3.21-CFS CIOSS Rejs'!C8,'Table 3.21-CFS CIOSS Rejs'!C13,'Table 3.21-CFS CIOSS Rejs'!C18)</f>
        <v>8158.404718836791</v>
      </c>
      <c r="E40" s="292" t="s">
        <v>240</v>
      </c>
      <c r="F40" s="83">
        <f>IF(ISERROR(D40/B40),"n/a",D40/B40)</f>
        <v>0.15167707368445346</v>
      </c>
      <c r="G40" s="92"/>
      <c r="H40" s="54">
        <v>1.5595101237373266</v>
      </c>
      <c r="I40" s="54"/>
      <c r="J40" s="46">
        <f>D40*$H40</f>
        <v>12723.114752572354</v>
      </c>
      <c r="K40" s="83">
        <f>IF(ISERROR(J40/B40),"n/a",J40/B40)</f>
        <v>0.23654193194975764</v>
      </c>
      <c r="M40" s="140"/>
    </row>
    <row r="41" spans="1:13" ht="4.5" customHeight="1">
      <c r="A41" s="89"/>
      <c r="B41" s="200"/>
      <c r="C41" s="200"/>
      <c r="D41" s="204"/>
      <c r="E41" s="200"/>
      <c r="F41" s="201"/>
      <c r="G41" s="198"/>
      <c r="H41" s="199"/>
      <c r="I41" s="199"/>
      <c r="J41" s="205"/>
      <c r="K41" s="83"/>
      <c r="M41" s="140"/>
    </row>
    <row r="42" spans="1:13" ht="12.75">
      <c r="A42" s="82" t="s">
        <v>176</v>
      </c>
      <c r="B42" s="135"/>
      <c r="C42" s="135"/>
      <c r="D42" s="196"/>
      <c r="E42" s="135"/>
      <c r="F42" s="92"/>
      <c r="G42" s="48"/>
      <c r="H42" s="48"/>
      <c r="I42" s="48"/>
      <c r="J42" s="196"/>
      <c r="K42" s="92"/>
      <c r="M42" s="140"/>
    </row>
    <row r="43" spans="1:13" ht="12.75">
      <c r="A43" s="338" t="s">
        <v>130</v>
      </c>
      <c r="B43" s="105">
        <f>SUM('Table 3.21-CFS CIOSS Rejs'!B23,'Table 3.21-CFS CIOSS Rejs'!B28,'Table 3.21-CFS CIOSS Rejs'!B33)</f>
        <v>0</v>
      </c>
      <c r="C43" s="292" t="s">
        <v>240</v>
      </c>
      <c r="D43" s="196">
        <f>SUM('Table 3.21-CFS CIOSS Rejs'!C23,'Table 3.21-CFS CIOSS Rejs'!C28,'Table 3.21-CFS CIOSS Rejs'!C33)</f>
        <v>0</v>
      </c>
      <c r="E43" s="292" t="s">
        <v>240</v>
      </c>
      <c r="F43" s="83" t="str">
        <f>IF(ISERROR(D43/B43),"n/a",D43/B43)</f>
        <v>n/a</v>
      </c>
      <c r="G43" s="92"/>
      <c r="H43" s="54">
        <v>1.5595101237373266</v>
      </c>
      <c r="I43" s="54"/>
      <c r="J43" s="46">
        <f>D43*$H43</f>
        <v>0</v>
      </c>
      <c r="K43" s="83" t="str">
        <f>IF(ISERROR(J43/B43),"n/a",J43/B43)</f>
        <v>n/a</v>
      </c>
      <c r="M43" s="140"/>
    </row>
    <row r="44" spans="1:13" ht="12.75">
      <c r="A44" s="338" t="s">
        <v>292</v>
      </c>
      <c r="B44" s="105">
        <f>SUM('Table 3.21-CFS CIOSS Rejs'!B24,'Table 3.21-CFS CIOSS Rejs'!B29,'Table 3.21-CFS CIOSS Rejs'!B34)</f>
        <v>3023.5525398934524</v>
      </c>
      <c r="C44" s="292" t="s">
        <v>240</v>
      </c>
      <c r="D44" s="196">
        <f>SUM('Table 3.21-CFS CIOSS Rejs'!C24,'Table 3.21-CFS CIOSS Rejs'!C29,'Table 3.21-CFS CIOSS Rejs'!C34)</f>
        <v>843.3320722508822</v>
      </c>
      <c r="E44" s="292" t="s">
        <v>240</v>
      </c>
      <c r="F44" s="83">
        <f>IF(ISERROR(D44/B44),"n/a",D44/B44)</f>
        <v>0.2789209253432059</v>
      </c>
      <c r="G44" s="92"/>
      <c r="H44" s="54">
        <v>1.5595101237373266</v>
      </c>
      <c r="I44" s="54"/>
      <c r="J44" s="46">
        <f>D44*$H44</f>
        <v>1315.1849043476293</v>
      </c>
      <c r="K44" s="83">
        <f>IF(ISERROR(J44/B44),"n/a",J44/B44)</f>
        <v>0.43498000679491267</v>
      </c>
      <c r="M44" s="140"/>
    </row>
    <row r="45" spans="1:13" ht="4.5" customHeight="1">
      <c r="A45" s="89"/>
      <c r="B45" s="200"/>
      <c r="C45" s="200"/>
      <c r="D45" s="204"/>
      <c r="E45" s="200"/>
      <c r="F45" s="201"/>
      <c r="G45" s="198"/>
      <c r="H45" s="199"/>
      <c r="I45" s="199"/>
      <c r="J45" s="205"/>
      <c r="K45" s="83"/>
      <c r="M45" s="140"/>
    </row>
    <row r="46" spans="1:13" ht="12.75">
      <c r="A46" s="338" t="s">
        <v>177</v>
      </c>
      <c r="B46" s="44">
        <f>SUM(B39:B40)</f>
        <v>53787.98865680521</v>
      </c>
      <c r="C46" s="44"/>
      <c r="D46" s="196">
        <f>SUM(D39:D40)</f>
        <v>8158.404718836791</v>
      </c>
      <c r="E46" s="44"/>
      <c r="F46" s="83">
        <f>IF(ISERROR(D46/B46),"n/a",D46/B46)</f>
        <v>0.15167707368445346</v>
      </c>
      <c r="G46" s="41"/>
      <c r="H46" s="75"/>
      <c r="I46" s="75"/>
      <c r="J46" s="46">
        <f>SUM(J39:J40)</f>
        <v>12723.114752572354</v>
      </c>
      <c r="K46" s="83">
        <f>IF(ISERROR(J46/B46),"n/a",J46/B46)</f>
        <v>0.23654193194975764</v>
      </c>
      <c r="M46" s="140"/>
    </row>
    <row r="47" spans="1:13" ht="12.75">
      <c r="A47" s="338" t="s">
        <v>178</v>
      </c>
      <c r="B47" s="44">
        <f>SUM(B43:B44)</f>
        <v>3023.5525398934524</v>
      </c>
      <c r="C47" s="44"/>
      <c r="D47" s="196">
        <f>SUM(D43:D44)</f>
        <v>843.3320722508822</v>
      </c>
      <c r="E47" s="44"/>
      <c r="F47" s="83">
        <f>IF(ISERROR(D47/B47),"n/a",D47/B47)</f>
        <v>0.2789209253432059</v>
      </c>
      <c r="G47" s="202"/>
      <c r="H47" s="203"/>
      <c r="I47" s="203"/>
      <c r="J47" s="46">
        <f>SUM(J43:J44)</f>
        <v>1315.1849043476293</v>
      </c>
      <c r="K47" s="83">
        <f>IF(ISERROR(J47/B47),"n/a",J47/B47)</f>
        <v>0.43498000679491267</v>
      </c>
      <c r="M47" s="140"/>
    </row>
    <row r="48" spans="1:13" ht="12.75">
      <c r="A48" s="338" t="s">
        <v>102</v>
      </c>
      <c r="B48" s="44">
        <f>B46</f>
        <v>53787.98865680521</v>
      </c>
      <c r="C48" s="44"/>
      <c r="D48" s="196">
        <f>SUM(D47,D46)</f>
        <v>9001.736791087673</v>
      </c>
      <c r="E48" s="44"/>
      <c r="F48" s="83">
        <f>IF(ISERROR(D48/B48),"n/a",D48/B48)</f>
        <v>0.16735589145233415</v>
      </c>
      <c r="G48" s="41"/>
      <c r="H48" s="75"/>
      <c r="I48" s="75"/>
      <c r="J48" s="46">
        <f>SUM(J47,J46)</f>
        <v>14038.299656919982</v>
      </c>
      <c r="K48" s="83">
        <f>IF(ISERROR(J48/B48),"n/a",J48/B48)</f>
        <v>0.26099320698700024</v>
      </c>
      <c r="M48" s="140"/>
    </row>
    <row r="49" spans="1:13" ht="12.75">
      <c r="A49" s="16"/>
      <c r="B49" s="44"/>
      <c r="C49" s="44"/>
      <c r="D49" s="196"/>
      <c r="E49" s="44"/>
      <c r="F49" s="83"/>
      <c r="G49" s="41"/>
      <c r="H49" s="75"/>
      <c r="I49" s="75"/>
      <c r="J49" s="46"/>
      <c r="K49" s="83"/>
      <c r="M49" s="140"/>
    </row>
    <row r="50" spans="1:13" ht="12.75">
      <c r="A50" s="15" t="s">
        <v>782</v>
      </c>
      <c r="B50" s="44"/>
      <c r="C50" s="285"/>
      <c r="D50" s="196"/>
      <c r="E50" s="285"/>
      <c r="F50" s="83"/>
      <c r="G50" s="41"/>
      <c r="H50" s="54"/>
      <c r="I50" s="75"/>
      <c r="J50" s="46"/>
      <c r="K50" s="83"/>
      <c r="M50" s="140"/>
    </row>
    <row r="51" spans="1:13" ht="12.75">
      <c r="A51" s="82" t="s">
        <v>173</v>
      </c>
      <c r="B51" s="44"/>
      <c r="C51" s="285"/>
      <c r="D51" s="196"/>
      <c r="E51" s="285"/>
      <c r="F51" s="83"/>
      <c r="G51" s="41"/>
      <c r="H51" s="54"/>
      <c r="I51" s="75"/>
      <c r="J51" s="46"/>
      <c r="K51" s="83"/>
      <c r="M51" s="140"/>
    </row>
    <row r="52" spans="1:13" ht="12.75">
      <c r="A52" s="338" t="s">
        <v>130</v>
      </c>
      <c r="B52" s="44">
        <f>SUM('Table 3.21-CFS CIOSS Rejs'!B69,'Table 3.21-CFS CIOSS Rejs'!B74)</f>
        <v>0</v>
      </c>
      <c r="C52" s="292" t="s">
        <v>240</v>
      </c>
      <c r="D52" s="196">
        <f>SUM('Table 3.21-CFS CIOSS Rejs'!C69,'Table 3.21-CFS CIOSS Rejs'!C74)</f>
        <v>0</v>
      </c>
      <c r="E52" s="292" t="s">
        <v>240</v>
      </c>
      <c r="F52" s="83" t="str">
        <f>IF(ISERROR(D52/B52),"n/a",D52/B52)</f>
        <v>n/a</v>
      </c>
      <c r="G52" s="41"/>
      <c r="H52" s="54">
        <v>1.5595101237373266</v>
      </c>
      <c r="I52" s="75"/>
      <c r="J52" s="46">
        <f>D52*$H52</f>
        <v>0</v>
      </c>
      <c r="K52" s="83" t="str">
        <f>IF(ISERROR(J52/B52),"n/a",J52/B52)</f>
        <v>n/a</v>
      </c>
      <c r="M52" s="140"/>
    </row>
    <row r="53" spans="1:13" ht="12.75">
      <c r="A53" s="338" t="s">
        <v>292</v>
      </c>
      <c r="B53" s="44">
        <f>SUM('Table 3.21-CFS CIOSS Rejs'!B70,'Table 3.21-CFS CIOSS Rejs'!B75)</f>
        <v>4193.86355009056</v>
      </c>
      <c r="C53" s="292" t="s">
        <v>240</v>
      </c>
      <c r="D53" s="196">
        <f>SUM('Table 3.21-CFS CIOSS Rejs'!C70,'Table 3.21-CFS CIOSS Rejs'!C75)</f>
        <v>51.23479963242863</v>
      </c>
      <c r="E53" s="292" t="s">
        <v>240</v>
      </c>
      <c r="F53" s="83">
        <f>IF(ISERROR(D53/B53),"n/a",D53/B53)</f>
        <v>0.0122166110128505</v>
      </c>
      <c r="G53" s="41"/>
      <c r="H53" s="54">
        <v>1.5595101237373266</v>
      </c>
      <c r="I53" s="75"/>
      <c r="J53" s="46">
        <f>D53*$H53</f>
        <v>79.90118871442591</v>
      </c>
      <c r="K53" s="83">
        <f>IF(ISERROR(J53/B53),"n/a",J53/B53)</f>
        <v>0.01905192855230127</v>
      </c>
      <c r="M53" s="140"/>
    </row>
    <row r="54" spans="1:13" ht="4.5" customHeight="1">
      <c r="A54" s="89"/>
      <c r="B54" s="44"/>
      <c r="C54" s="285"/>
      <c r="D54" s="44"/>
      <c r="E54" s="285"/>
      <c r="F54" s="83"/>
      <c r="G54" s="41"/>
      <c r="H54" s="54"/>
      <c r="I54" s="75"/>
      <c r="J54" s="44"/>
      <c r="K54" s="83"/>
      <c r="M54" s="140"/>
    </row>
    <row r="55" spans="1:13" ht="12.75">
      <c r="A55" s="82" t="s">
        <v>176</v>
      </c>
      <c r="B55" s="44"/>
      <c r="C55" s="285"/>
      <c r="D55" s="44"/>
      <c r="E55" s="285"/>
      <c r="F55" s="83"/>
      <c r="G55" s="41"/>
      <c r="H55" s="54"/>
      <c r="I55" s="75"/>
      <c r="J55" s="44"/>
      <c r="K55" s="83"/>
      <c r="M55" s="140"/>
    </row>
    <row r="56" spans="1:13" ht="12.75">
      <c r="A56" s="338" t="s">
        <v>130</v>
      </c>
      <c r="B56" s="44">
        <f>SUM('Table 3.21-CFS CIOSS Rejs'!B80,'Table 3.21-CFS CIOSS Rejs'!B85)</f>
        <v>0</v>
      </c>
      <c r="C56" s="292" t="s">
        <v>240</v>
      </c>
      <c r="D56" s="196">
        <f>SUM('Table 3.21-CFS CIOSS Rejs'!C80,'Table 3.21-CFS CIOSS Rejs'!C85)</f>
        <v>0</v>
      </c>
      <c r="E56" s="292" t="s">
        <v>240</v>
      </c>
      <c r="F56" s="83" t="str">
        <f>IF(ISERROR(D56/B56),"n/a",D56/B56)</f>
        <v>n/a</v>
      </c>
      <c r="G56" s="41"/>
      <c r="H56" s="54">
        <v>1.5595101237373266</v>
      </c>
      <c r="I56" s="75"/>
      <c r="J56" s="46">
        <f>D56*$H56</f>
        <v>0</v>
      </c>
      <c r="K56" s="83" t="str">
        <f>IF(ISERROR(J56/B56),"n/a",J56/B56)</f>
        <v>n/a</v>
      </c>
      <c r="M56" s="140"/>
    </row>
    <row r="57" spans="1:13" ht="12.75">
      <c r="A57" s="338" t="s">
        <v>292</v>
      </c>
      <c r="B57" s="44">
        <f>SUM('Table 3.21-CFS CIOSS Rejs'!B81,'Table 3.21-CFS CIOSS Rejs'!B86)</f>
        <v>4193.86355009056</v>
      </c>
      <c r="C57" s="292" t="s">
        <v>240</v>
      </c>
      <c r="D57" s="196">
        <f>SUM('Table 3.21-CFS CIOSS Rejs'!C81,'Table 3.21-CFS CIOSS Rejs'!C86)</f>
        <v>938.9336231130044</v>
      </c>
      <c r="E57" s="292" t="s">
        <v>240</v>
      </c>
      <c r="F57" s="83">
        <f>IF(ISERROR(D57/B57),"n/a",D57/B57)</f>
        <v>0.2238827305415622</v>
      </c>
      <c r="G57" s="41"/>
      <c r="H57" s="54">
        <v>1.5595101237373266</v>
      </c>
      <c r="I57" s="75"/>
      <c r="J57" s="46">
        <f>D57*$H57</f>
        <v>1464.2764907620979</v>
      </c>
      <c r="K57" s="83">
        <f>IF(ISERROR(J57/B57),"n/a",J57/B57)</f>
        <v>0.34914738480952223</v>
      </c>
      <c r="M57" s="140"/>
    </row>
    <row r="58" spans="1:13" ht="4.5" customHeight="1">
      <c r="A58" s="89"/>
      <c r="B58" s="44"/>
      <c r="C58" s="285"/>
      <c r="D58" s="196"/>
      <c r="E58" s="285"/>
      <c r="F58" s="83"/>
      <c r="G58" s="41"/>
      <c r="H58" s="54"/>
      <c r="I58" s="75"/>
      <c r="J58" s="46"/>
      <c r="K58" s="83"/>
      <c r="M58" s="140"/>
    </row>
    <row r="59" spans="1:13" ht="12.75">
      <c r="A59" s="338" t="s">
        <v>177</v>
      </c>
      <c r="B59" s="44">
        <f>SUM(B52:B53)</f>
        <v>4193.86355009056</v>
      </c>
      <c r="C59" s="285"/>
      <c r="D59" s="196">
        <f>SUM(D52:D53)</f>
        <v>51.23479963242863</v>
      </c>
      <c r="E59" s="285"/>
      <c r="F59" s="83">
        <f>IF(ISERROR(D59/B59),"n/a",D59/B59)</f>
        <v>0.0122166110128505</v>
      </c>
      <c r="G59" s="41"/>
      <c r="H59" s="54">
        <v>1.5595101237373266</v>
      </c>
      <c r="I59" s="75"/>
      <c r="J59" s="46">
        <f>D59*$H59</f>
        <v>79.90118871442591</v>
      </c>
      <c r="K59" s="83">
        <f>IF(ISERROR(J59/B59),"n/a",J59/B59)</f>
        <v>0.01905192855230127</v>
      </c>
      <c r="M59" s="140"/>
    </row>
    <row r="60" spans="1:13" ht="12.75">
      <c r="A60" s="338" t="s">
        <v>178</v>
      </c>
      <c r="B60" s="44">
        <f>SUM(B56:B57)</f>
        <v>4193.86355009056</v>
      </c>
      <c r="C60" s="285"/>
      <c r="D60" s="196">
        <f>SUM(D56:D57)</f>
        <v>938.9336231130044</v>
      </c>
      <c r="E60" s="285"/>
      <c r="F60" s="83">
        <f>IF(ISERROR(D60/B60),"n/a",D60/B60)</f>
        <v>0.2238827305415622</v>
      </c>
      <c r="G60" s="41"/>
      <c r="H60" s="54">
        <v>1.5595101237373266</v>
      </c>
      <c r="I60" s="75"/>
      <c r="J60" s="46">
        <f>D60*$H60</f>
        <v>1464.2764907620979</v>
      </c>
      <c r="K60" s="83">
        <f>IF(ISERROR(J60/B60),"n/a",J60/B60)</f>
        <v>0.34914738480952223</v>
      </c>
      <c r="M60" s="140"/>
    </row>
    <row r="61" spans="1:11" ht="12.75">
      <c r="A61" s="338" t="s">
        <v>102</v>
      </c>
      <c r="B61" s="44">
        <f>B60</f>
        <v>4193.86355009056</v>
      </c>
      <c r="C61" s="285"/>
      <c r="D61" s="196">
        <f>SUM(D59:D60)</f>
        <v>990.168422745433</v>
      </c>
      <c r="E61" s="285"/>
      <c r="F61" s="83">
        <f>IF(ISERROR(D61/B61),"n/a",D61/B61)</f>
        <v>0.2360993415544127</v>
      </c>
      <c r="G61" s="41"/>
      <c r="H61" s="54"/>
      <c r="I61" s="75"/>
      <c r="J61" s="46">
        <f>SUM(J59:J60)</f>
        <v>1544.1776794765237</v>
      </c>
      <c r="K61" s="83">
        <f>IF(ISERROR(J61/B61),"n/a",J61/B61)</f>
        <v>0.3681993133618235</v>
      </c>
    </row>
    <row r="62" spans="1:11" ht="12.75">
      <c r="A62" s="338"/>
      <c r="B62" s="44"/>
      <c r="C62" s="285"/>
      <c r="D62" s="196"/>
      <c r="E62" s="285"/>
      <c r="F62" s="83"/>
      <c r="G62" s="41"/>
      <c r="H62" s="54"/>
      <c r="I62" s="75"/>
      <c r="J62" s="46"/>
      <c r="K62" s="83"/>
    </row>
    <row r="63" spans="1:11" ht="15.75">
      <c r="A63" s="158" t="s">
        <v>648</v>
      </c>
      <c r="D63" s="24"/>
      <c r="E63" s="24"/>
      <c r="F63" s="24"/>
      <c r="G63" s="24"/>
      <c r="H63" s="24"/>
      <c r="I63" s="24"/>
      <c r="J63" s="24"/>
      <c r="K63" s="24"/>
    </row>
    <row r="64" spans="1:11" ht="15.75">
      <c r="A64" s="158" t="s">
        <v>787</v>
      </c>
      <c r="D64" s="24"/>
      <c r="E64" s="24"/>
      <c r="F64" s="24"/>
      <c r="G64" s="24"/>
      <c r="H64" s="24"/>
      <c r="I64" s="24"/>
      <c r="J64" s="24"/>
      <c r="K64" s="24"/>
    </row>
    <row r="65" spans="1:11" ht="25.5">
      <c r="A65" s="89"/>
      <c r="B65" s="168" t="s">
        <v>222</v>
      </c>
      <c r="C65" s="168"/>
      <c r="D65" s="189" t="s">
        <v>217</v>
      </c>
      <c r="E65" s="189"/>
      <c r="F65" s="198" t="s">
        <v>104</v>
      </c>
      <c r="G65" s="198"/>
      <c r="H65" s="199" t="s">
        <v>251</v>
      </c>
      <c r="I65" s="199"/>
      <c r="J65" s="160" t="s">
        <v>218</v>
      </c>
      <c r="K65" s="41" t="s">
        <v>133</v>
      </c>
    </row>
    <row r="66" spans="1:11" ht="15.75">
      <c r="A66" s="443" t="s">
        <v>436</v>
      </c>
      <c r="B66" s="168"/>
      <c r="C66" s="168"/>
      <c r="D66" s="189"/>
      <c r="E66" s="189"/>
      <c r="F66" s="198"/>
      <c r="G66" s="198"/>
      <c r="H66" s="199"/>
      <c r="I66" s="199"/>
      <c r="J66" s="160"/>
      <c r="K66" s="41"/>
    </row>
    <row r="67" spans="1:11" ht="4.5" customHeight="1">
      <c r="A67" s="158"/>
      <c r="B67" s="168"/>
      <c r="C67" s="168"/>
      <c r="D67" s="189"/>
      <c r="E67" s="189"/>
      <c r="F67" s="198"/>
      <c r="G67" s="198"/>
      <c r="H67" s="199"/>
      <c r="I67" s="199"/>
      <c r="J67" s="160"/>
      <c r="K67" s="41"/>
    </row>
    <row r="68" spans="1:11" ht="12.75">
      <c r="A68" s="453" t="s">
        <v>291</v>
      </c>
      <c r="B68" s="168"/>
      <c r="C68" s="168"/>
      <c r="D68" s="189"/>
      <c r="E68" s="189"/>
      <c r="F68" s="198"/>
      <c r="G68" s="198"/>
      <c r="H68" s="199"/>
      <c r="I68" s="199"/>
      <c r="J68" s="160"/>
      <c r="K68" s="41"/>
    </row>
    <row r="69" spans="1:11" ht="12.75">
      <c r="A69" s="82" t="s">
        <v>173</v>
      </c>
      <c r="B69" s="6"/>
      <c r="C69" s="6"/>
      <c r="D69" s="52"/>
      <c r="E69" s="52"/>
      <c r="F69" s="86"/>
      <c r="G69" s="86"/>
      <c r="H69" s="104"/>
      <c r="I69" s="54"/>
      <c r="J69" s="39"/>
      <c r="K69" s="88"/>
    </row>
    <row r="70" spans="1:11" ht="12.75">
      <c r="A70" s="338" t="s">
        <v>130</v>
      </c>
      <c r="B70" s="105">
        <f>SUM(B8,B39)</f>
        <v>0</v>
      </c>
      <c r="C70" s="292"/>
      <c r="D70" s="196">
        <f>SUM(D8,D39)</f>
        <v>0</v>
      </c>
      <c r="E70" s="292"/>
      <c r="F70" s="83" t="str">
        <f>IF(ISERROR(D70/B70),"n/a",D70/B70)</f>
        <v>n/a</v>
      </c>
      <c r="G70" s="92"/>
      <c r="H70" s="54"/>
      <c r="I70" s="54"/>
      <c r="J70" s="196">
        <f>SUM(J8,J39)</f>
        <v>0</v>
      </c>
      <c r="K70" s="83" t="str">
        <f>IF(ISERROR(J70/B70),"n/a",J70/B70)</f>
        <v>n/a</v>
      </c>
    </row>
    <row r="71" spans="1:11" ht="12.75">
      <c r="A71" s="338" t="s">
        <v>292</v>
      </c>
      <c r="B71" s="105">
        <f>SUM(B9,B40)</f>
        <v>204631.85531101</v>
      </c>
      <c r="C71" s="292"/>
      <c r="D71" s="196">
        <f>SUM(D9,D40)</f>
        <v>31116.499165651352</v>
      </c>
      <c r="E71" s="292"/>
      <c r="F71" s="83">
        <f>IF(ISERROR(D71/B71),"n/a",D71/B71)</f>
        <v>0.15206087594895182</v>
      </c>
      <c r="G71" s="92"/>
      <c r="H71" s="54"/>
      <c r="I71" s="54"/>
      <c r="J71" s="196">
        <f>SUM(J9,J40)</f>
        <v>48526.49546409736</v>
      </c>
      <c r="K71" s="83">
        <f>IF(ISERROR(J71/B71),"n/a",J71/B71)</f>
        <v>0.23714047546675612</v>
      </c>
    </row>
    <row r="72" spans="1:11" ht="4.5" customHeight="1">
      <c r="A72" s="89"/>
      <c r="B72" s="200"/>
      <c r="C72" s="200"/>
      <c r="D72" s="196"/>
      <c r="E72" s="200"/>
      <c r="F72" s="201"/>
      <c r="G72" s="198"/>
      <c r="H72" s="199"/>
      <c r="I72" s="199"/>
      <c r="J72" s="196"/>
      <c r="K72" s="83"/>
    </row>
    <row r="73" spans="1:11" ht="12.75">
      <c r="A73" s="82" t="s">
        <v>176</v>
      </c>
      <c r="B73" s="135"/>
      <c r="C73" s="135"/>
      <c r="D73" s="196"/>
      <c r="E73" s="135"/>
      <c r="F73" s="92"/>
      <c r="G73" s="48"/>
      <c r="H73" s="48"/>
      <c r="I73" s="48"/>
      <c r="J73" s="196"/>
      <c r="K73" s="92"/>
    </row>
    <row r="74" spans="1:11" ht="12.75">
      <c r="A74" s="338" t="s">
        <v>130</v>
      </c>
      <c r="B74" s="105">
        <f>SUM(B12,B43)</f>
        <v>0</v>
      </c>
      <c r="C74" s="292"/>
      <c r="D74" s="196">
        <f>SUM(D12,D43)</f>
        <v>0</v>
      </c>
      <c r="E74" s="292"/>
      <c r="F74" s="83" t="str">
        <f>IF(ISERROR(D74/B74),"n/a",D74/B74)</f>
        <v>n/a</v>
      </c>
      <c r="G74" s="92"/>
      <c r="H74" s="54"/>
      <c r="I74" s="54"/>
      <c r="J74" s="196">
        <f>SUM(J12,J43)</f>
        <v>0</v>
      </c>
      <c r="K74" s="83" t="str">
        <f>IF(ISERROR(J74/B74),"n/a",J74/B74)</f>
        <v>n/a</v>
      </c>
    </row>
    <row r="75" spans="1:11" ht="12.75">
      <c r="A75" s="338" t="s">
        <v>292</v>
      </c>
      <c r="B75" s="105">
        <f>SUM(B13,B44)</f>
        <v>76887.89227078429</v>
      </c>
      <c r="C75" s="292"/>
      <c r="D75" s="196">
        <f>SUM(D13,D44)</f>
        <v>21445.642059855883</v>
      </c>
      <c r="E75" s="292"/>
      <c r="F75" s="83">
        <f>IF(ISERROR(D75/B75),"n/a",D75/B75)</f>
        <v>0.2789209253432059</v>
      </c>
      <c r="G75" s="92"/>
      <c r="H75" s="54"/>
      <c r="I75" s="54"/>
      <c r="J75" s="196">
        <f>SUM(J13,J44)</f>
        <v>33444.69590239226</v>
      </c>
      <c r="K75" s="83">
        <f>IF(ISERROR(J75/B75),"n/a",J75/B75)</f>
        <v>0.43498000679491267</v>
      </c>
    </row>
    <row r="76" spans="1:11" ht="4.5" customHeight="1">
      <c r="A76" s="89"/>
      <c r="B76" s="200"/>
      <c r="C76" s="200"/>
      <c r="D76" s="204"/>
      <c r="E76" s="200"/>
      <c r="F76" s="201"/>
      <c r="G76" s="198"/>
      <c r="H76" s="199"/>
      <c r="I76" s="199"/>
      <c r="J76" s="204"/>
      <c r="K76" s="83"/>
    </row>
    <row r="77" spans="1:11" ht="12.75">
      <c r="A77" s="338" t="s">
        <v>177</v>
      </c>
      <c r="B77" s="44">
        <f>SUM(B70:B71)</f>
        <v>204631.85531101</v>
      </c>
      <c r="C77" s="44"/>
      <c r="D77" s="196">
        <f>SUM(D70:D71)</f>
        <v>31116.499165651352</v>
      </c>
      <c r="E77" s="44"/>
      <c r="F77" s="83">
        <f>IF(ISERROR(D77/B77),"n/a",D77/B77)</f>
        <v>0.15206087594895182</v>
      </c>
      <c r="G77" s="41"/>
      <c r="H77" s="75"/>
      <c r="I77" s="75"/>
      <c r="J77" s="196">
        <f>SUM(J70:J71)</f>
        <v>48526.49546409736</v>
      </c>
      <c r="K77" s="83">
        <f>IF(ISERROR(J77/B77),"n/a",J77/B77)</f>
        <v>0.23714047546675612</v>
      </c>
    </row>
    <row r="78" spans="1:11" ht="12.75">
      <c r="A78" s="338" t="s">
        <v>178</v>
      </c>
      <c r="B78" s="44">
        <f>SUM(B74:B75)</f>
        <v>76887.89227078429</v>
      </c>
      <c r="C78" s="44"/>
      <c r="D78" s="196">
        <f>SUM(D74:D75)</f>
        <v>21445.642059855883</v>
      </c>
      <c r="E78" s="44"/>
      <c r="F78" s="83">
        <f>IF(ISERROR(D78/B78),"n/a",D78/B78)</f>
        <v>0.2789209253432059</v>
      </c>
      <c r="G78" s="202"/>
      <c r="H78" s="203"/>
      <c r="I78" s="203"/>
      <c r="J78" s="196">
        <f>SUM(J74:J75)</f>
        <v>33444.69590239226</v>
      </c>
      <c r="K78" s="83">
        <f>IF(ISERROR(J78/B78),"n/a",J78/B78)</f>
        <v>0.43498000679491267</v>
      </c>
    </row>
    <row r="79" spans="1:11" ht="12.75">
      <c r="A79" s="338" t="s">
        <v>102</v>
      </c>
      <c r="B79" s="44">
        <f>B77</f>
        <v>204631.85531101</v>
      </c>
      <c r="C79" s="44"/>
      <c r="D79" s="196">
        <f>SUM(D78,D77)</f>
        <v>52562.141225507236</v>
      </c>
      <c r="E79" s="44"/>
      <c r="F79" s="83">
        <f>IF(ISERROR(D79/B79),"n/a",D79/B79)</f>
        <v>0.2568619687566268</v>
      </c>
      <c r="G79" s="41"/>
      <c r="H79" s="75"/>
      <c r="I79" s="75"/>
      <c r="J79" s="196">
        <f>SUM(J78,J77)</f>
        <v>81971.19136648963</v>
      </c>
      <c r="K79" s="83">
        <f>IF(ISERROR(J79/B79),"n/a",J79/B79)</f>
        <v>0.40057884067906047</v>
      </c>
    </row>
    <row r="80" spans="1:11" ht="12.75">
      <c r="A80" s="16"/>
      <c r="B80" s="44"/>
      <c r="C80" s="44"/>
      <c r="D80" s="196"/>
      <c r="E80" s="44"/>
      <c r="F80" s="83"/>
      <c r="G80" s="41"/>
      <c r="H80" s="75"/>
      <c r="I80" s="75"/>
      <c r="J80" s="196"/>
      <c r="K80" s="83"/>
    </row>
    <row r="81" spans="1:11" ht="12.75">
      <c r="A81" s="15" t="s">
        <v>782</v>
      </c>
      <c r="B81" s="44"/>
      <c r="C81" s="285"/>
      <c r="D81" s="196"/>
      <c r="E81" s="285"/>
      <c r="F81" s="83"/>
      <c r="G81" s="41"/>
      <c r="H81" s="54"/>
      <c r="I81" s="75"/>
      <c r="J81" s="196"/>
      <c r="K81" s="83"/>
    </row>
    <row r="82" spans="1:11" ht="12.75">
      <c r="A82" s="82" t="s">
        <v>173</v>
      </c>
      <c r="B82" s="44"/>
      <c r="C82" s="285"/>
      <c r="D82" s="196"/>
      <c r="E82" s="285"/>
      <c r="F82" s="83"/>
      <c r="G82" s="41"/>
      <c r="H82" s="54"/>
      <c r="I82" s="75"/>
      <c r="J82" s="196"/>
      <c r="K82" s="83"/>
    </row>
    <row r="83" spans="1:11" ht="12.75">
      <c r="A83" s="338" t="s">
        <v>130</v>
      </c>
      <c r="B83" s="105">
        <f>SUM(B21,B52)</f>
        <v>0</v>
      </c>
      <c r="C83" s="292"/>
      <c r="D83" s="196">
        <f>SUM(D21,D52)</f>
        <v>0</v>
      </c>
      <c r="E83" s="292"/>
      <c r="F83" s="83" t="str">
        <f>IF(ISERROR(D83/B83),"n/a",D83/B83)</f>
        <v>n/a</v>
      </c>
      <c r="G83" s="41"/>
      <c r="H83" s="54"/>
      <c r="I83" s="75"/>
      <c r="J83" s="196">
        <f>SUM(J21,J52)</f>
        <v>0</v>
      </c>
      <c r="K83" s="83" t="str">
        <f>IF(ISERROR(J83/B83),"n/a",J83/B83)</f>
        <v>n/a</v>
      </c>
    </row>
    <row r="84" spans="1:11" ht="12.75">
      <c r="A84" s="338" t="s">
        <v>292</v>
      </c>
      <c r="B84" s="105">
        <f>SUM(B22,B53)</f>
        <v>68185.2007727576</v>
      </c>
      <c r="C84" s="292"/>
      <c r="D84" s="196">
        <f>SUM(D22,D53)</f>
        <v>832.9920746738935</v>
      </c>
      <c r="E84" s="292"/>
      <c r="F84" s="83">
        <f>IF(ISERROR(D84/B84),"n/a",D84/B84)</f>
        <v>0.01221661101285051</v>
      </c>
      <c r="G84" s="41"/>
      <c r="H84" s="54"/>
      <c r="I84" s="75"/>
      <c r="J84" s="196">
        <f>SUM(J22,J53)</f>
        <v>1299.0595734468961</v>
      </c>
      <c r="K84" s="83">
        <f>IF(ISERROR(J84/B84),"n/a",J84/B84)</f>
        <v>0.019051928552301284</v>
      </c>
    </row>
    <row r="85" spans="1:11" ht="4.5" customHeight="1">
      <c r="A85" s="89"/>
      <c r="B85" s="44"/>
      <c r="C85" s="285"/>
      <c r="D85" s="196"/>
      <c r="E85" s="285"/>
      <c r="F85" s="83"/>
      <c r="G85" s="41"/>
      <c r="H85" s="54"/>
      <c r="I85" s="75"/>
      <c r="J85" s="196"/>
      <c r="K85" s="83"/>
    </row>
    <row r="86" spans="1:11" ht="12.75">
      <c r="A86" s="82" t="s">
        <v>176</v>
      </c>
      <c r="B86" s="44"/>
      <c r="C86" s="285"/>
      <c r="D86" s="196"/>
      <c r="E86" s="285"/>
      <c r="F86" s="83"/>
      <c r="G86" s="41"/>
      <c r="H86" s="54"/>
      <c r="I86" s="75"/>
      <c r="J86" s="196"/>
      <c r="K86" s="83"/>
    </row>
    <row r="87" spans="1:11" ht="12.75">
      <c r="A87" s="338" t="s">
        <v>130</v>
      </c>
      <c r="B87" s="105">
        <f>SUM(B25,B56)</f>
        <v>0</v>
      </c>
      <c r="C87" s="292"/>
      <c r="D87" s="196">
        <f>SUM(D25,D56)</f>
        <v>0</v>
      </c>
      <c r="E87" s="292"/>
      <c r="F87" s="83" t="str">
        <f>IF(ISERROR(D87/B87),"n/a",D87/B87)</f>
        <v>n/a</v>
      </c>
      <c r="G87" s="41"/>
      <c r="H87" s="54"/>
      <c r="I87" s="75"/>
      <c r="J87" s="196">
        <f>SUM(J25,J56)</f>
        <v>0</v>
      </c>
      <c r="K87" s="83" t="str">
        <f>IF(ISERROR(J87/B87),"n/a",J87/B87)</f>
        <v>n/a</v>
      </c>
    </row>
    <row r="88" spans="1:11" ht="12.75">
      <c r="A88" s="338" t="s">
        <v>292</v>
      </c>
      <c r="B88" s="105">
        <f>SUM(B26,B57)</f>
        <v>68185.2007727576</v>
      </c>
      <c r="C88" s="292"/>
      <c r="D88" s="196">
        <f>SUM(D26,D57)</f>
        <v>15265.488931529608</v>
      </c>
      <c r="E88" s="292"/>
      <c r="F88" s="83">
        <f>IF(ISERROR(D88/B88),"n/a",D88/B88)</f>
        <v>0.22388273054156219</v>
      </c>
      <c r="G88" s="41"/>
      <c r="H88" s="54"/>
      <c r="I88" s="75"/>
      <c r="J88" s="196">
        <f>SUM(J26,J57)</f>
        <v>23806.68453252053</v>
      </c>
      <c r="K88" s="83">
        <f>IF(ISERROR(J88/B88),"n/a",J88/B88)</f>
        <v>0.34914738480952223</v>
      </c>
    </row>
    <row r="89" spans="1:11" ht="4.5" customHeight="1">
      <c r="A89" s="89"/>
      <c r="B89" s="44"/>
      <c r="C89" s="285"/>
      <c r="D89" s="196"/>
      <c r="E89" s="285"/>
      <c r="F89" s="83"/>
      <c r="G89" s="41"/>
      <c r="H89" s="54"/>
      <c r="I89" s="75"/>
      <c r="J89" s="196"/>
      <c r="K89" s="83"/>
    </row>
    <row r="90" spans="1:11" ht="12.75">
      <c r="A90" s="338" t="s">
        <v>177</v>
      </c>
      <c r="B90" s="44">
        <f>SUM(B83:B84)</f>
        <v>68185.2007727576</v>
      </c>
      <c r="C90" s="285"/>
      <c r="D90" s="196">
        <f>SUM(D83:D84)</f>
        <v>832.9920746738935</v>
      </c>
      <c r="E90" s="285"/>
      <c r="F90" s="83">
        <f>IF(ISERROR(D90/B90),"n/a",D90/B90)</f>
        <v>0.01221661101285051</v>
      </c>
      <c r="G90" s="41"/>
      <c r="H90" s="54"/>
      <c r="I90" s="75"/>
      <c r="J90" s="196">
        <f>SUM(J83:J84)</f>
        <v>1299.0595734468961</v>
      </c>
      <c r="K90" s="83">
        <f>IF(ISERROR(J90/B90),"n/a",J90/B90)</f>
        <v>0.019051928552301284</v>
      </c>
    </row>
    <row r="91" spans="1:11" ht="12.75">
      <c r="A91" s="338" t="s">
        <v>178</v>
      </c>
      <c r="B91" s="44">
        <f>SUM(B87:B88)</f>
        <v>68185.2007727576</v>
      </c>
      <c r="C91" s="285"/>
      <c r="D91" s="196">
        <f>SUM(D87:D88)</f>
        <v>15265.488931529608</v>
      </c>
      <c r="E91" s="285"/>
      <c r="F91" s="83">
        <f>IF(ISERROR(D91/B91),"n/a",D91/B91)</f>
        <v>0.22388273054156219</v>
      </c>
      <c r="G91" s="41"/>
      <c r="H91" s="54"/>
      <c r="I91" s="75"/>
      <c r="J91" s="196">
        <f>SUM(J87:J88)</f>
        <v>23806.68453252053</v>
      </c>
      <c r="K91" s="83">
        <f>IF(ISERROR(J91/B91),"n/a",J91/B91)</f>
        <v>0.34914738480952223</v>
      </c>
    </row>
    <row r="92" spans="1:11" ht="12.75">
      <c r="A92" s="338" t="s">
        <v>102</v>
      </c>
      <c r="B92" s="44">
        <f>B91</f>
        <v>68185.2007727576</v>
      </c>
      <c r="C92" s="285"/>
      <c r="D92" s="196">
        <f>SUM(D90:D91)</f>
        <v>16098.481006203501</v>
      </c>
      <c r="E92" s="285"/>
      <c r="F92" s="83">
        <f>IF(ISERROR(D92/B92),"n/a",D92/B92)</f>
        <v>0.2360993415544127</v>
      </c>
      <c r="G92" s="41"/>
      <c r="H92" s="54"/>
      <c r="I92" s="75"/>
      <c r="J92" s="196">
        <f>SUM(J90:J91)</f>
        <v>25105.744105967424</v>
      </c>
      <c r="K92" s="83">
        <f>IF(ISERROR(J92/B92),"n/a",J92/B92)</f>
        <v>0.3681993133618235</v>
      </c>
    </row>
    <row r="93" spans="1:11" ht="12.75" hidden="1">
      <c r="A93" s="338"/>
      <c r="B93" s="44"/>
      <c r="C93" s="285"/>
      <c r="D93" s="196"/>
      <c r="E93" s="285"/>
      <c r="F93" s="83"/>
      <c r="G93" s="41"/>
      <c r="H93" s="54"/>
      <c r="I93" s="75"/>
      <c r="J93" s="46"/>
      <c r="K93" s="83"/>
    </row>
    <row r="94" spans="1:11" ht="12.75" hidden="1">
      <c r="A94" s="338"/>
      <c r="B94" s="44"/>
      <c r="C94" s="285"/>
      <c r="D94" s="196"/>
      <c r="E94" s="285"/>
      <c r="F94" s="83"/>
      <c r="G94" s="41"/>
      <c r="H94" s="54"/>
      <c r="I94" s="75"/>
      <c r="J94" s="46"/>
      <c r="K94" s="83"/>
    </row>
    <row r="95" spans="1:11" ht="12.75" hidden="1">
      <c r="A95" s="140"/>
      <c r="B95" s="547" t="s">
        <v>193</v>
      </c>
      <c r="C95" s="547"/>
      <c r="D95" s="196"/>
      <c r="E95" s="285"/>
      <c r="F95" s="83"/>
      <c r="G95" s="41"/>
      <c r="H95" s="54"/>
      <c r="I95" s="75"/>
      <c r="J95" s="46"/>
      <c r="K95" s="83"/>
    </row>
    <row r="96" spans="1:14" ht="12.75" hidden="1">
      <c r="A96" s="140"/>
      <c r="B96" s="547" t="s">
        <v>194</v>
      </c>
      <c r="C96" s="547"/>
      <c r="D96" s="31">
        <f>SUM(D9,D13)</f>
        <v>43560.40443441956</v>
      </c>
      <c r="E96" s="31"/>
      <c r="F96" s="31">
        <f>'Table 3.20-CFS Non-CIOSS'!C91-'Table 3.20-CFS Non-CIOSS'!C94</f>
        <v>43560.404434419564</v>
      </c>
      <c r="G96" s="129"/>
      <c r="H96" s="128">
        <f>D96-F96</f>
        <v>0</v>
      </c>
      <c r="I96" s="11"/>
      <c r="J96" s="11"/>
      <c r="K96" s="31">
        <f>D40+D44</f>
        <v>9001.736791087673</v>
      </c>
      <c r="L96" s="53">
        <f>'Table 3.21-CFS CIOSS Rejs'!C91-'Table 3.21-CFS CIOSS Rejs'!C94</f>
        <v>9001.736791087675</v>
      </c>
      <c r="M96" s="128">
        <f>K96-L96</f>
        <v>0</v>
      </c>
      <c r="N96" s="357"/>
    </row>
    <row r="97" spans="1:14" ht="12.75" hidden="1">
      <c r="A97" s="140"/>
      <c r="B97" s="547" t="s">
        <v>195</v>
      </c>
      <c r="C97" s="547"/>
      <c r="D97" s="31">
        <f>SUM(D96:D96)</f>
        <v>43560.40443441956</v>
      </c>
      <c r="E97" s="31"/>
      <c r="F97" s="31">
        <f>SUM(F96:F96)</f>
        <v>43560.404434419564</v>
      </c>
      <c r="G97" s="129"/>
      <c r="H97" s="128">
        <f>D97-F97</f>
        <v>0</v>
      </c>
      <c r="I97" s="11"/>
      <c r="J97" s="11"/>
      <c r="K97" s="31">
        <f>SUM(K96:K96)</f>
        <v>9001.736791087673</v>
      </c>
      <c r="L97" s="31">
        <f>SUM(L96:L96)</f>
        <v>9001.736791087675</v>
      </c>
      <c r="M97" s="128">
        <f>K97-L97</f>
        <v>0</v>
      </c>
      <c r="N97" s="357"/>
    </row>
    <row r="98" spans="2:11" ht="12.75" hidden="1">
      <c r="B98" s="11"/>
      <c r="C98" s="11"/>
      <c r="D98" s="11"/>
      <c r="E98" s="11"/>
      <c r="F98" s="11"/>
      <c r="G98" s="11"/>
      <c r="H98" s="11"/>
      <c r="I98" s="11"/>
      <c r="J98" s="11"/>
      <c r="K98" s="11"/>
    </row>
    <row r="99" spans="1:11" ht="12.75" hidden="1">
      <c r="A99" s="347" t="s">
        <v>198</v>
      </c>
      <c r="B99" s="138">
        <f>SUM(B8:B9)-SUM('Table 3.20-CFS Non-CIOSS'!B9,'Table 3.20-CFS Non-CIOSS'!B14,'Table 3.20-CFS Non-CIOSS'!B19)</f>
        <v>0</v>
      </c>
      <c r="C99" s="352"/>
      <c r="D99" s="11"/>
      <c r="E99" s="11"/>
      <c r="F99" s="11"/>
      <c r="G99" s="11"/>
      <c r="H99" s="11"/>
      <c r="I99" s="11"/>
      <c r="J99" s="138">
        <f>SUM(B39:B40)-SUM('Table 3.21-CFS CIOSS Rejs'!B9,'Table 3.21-CFS CIOSS Rejs'!B14,'Table 3.21-CFS CIOSS Rejs'!B19)</f>
        <v>0</v>
      </c>
      <c r="K99" s="11"/>
    </row>
    <row r="100" spans="1:10" ht="12.75" hidden="1">
      <c r="A100" s="347" t="s">
        <v>206</v>
      </c>
      <c r="B100" s="138">
        <f>SUM(B12:B13)-SUM('Table 3.20-CFS Non-CIOSS'!B25,'Table 3.20-CFS Non-CIOSS'!B30,'Table 3.20-CFS Non-CIOSS'!B35)</f>
        <v>0</v>
      </c>
      <c r="C100" s="352"/>
      <c r="D100" s="11"/>
      <c r="E100" s="11"/>
      <c r="F100" s="11"/>
      <c r="G100" s="11"/>
      <c r="H100" s="11"/>
      <c r="I100" s="11"/>
      <c r="J100" s="138">
        <f>SUM(B43:B44)-SUM('Table 3.21-CFS CIOSS Rejs'!B25,'Table 3.21-CFS CIOSS Rejs'!B30,'Table 3.21-CFS CIOSS Rejs'!B35)</f>
        <v>0</v>
      </c>
    </row>
    <row r="101" spans="1:10" ht="12.75" hidden="1">
      <c r="A101" s="347"/>
      <c r="B101" s="352"/>
      <c r="C101" s="352"/>
      <c r="D101" s="11"/>
      <c r="E101" s="11"/>
      <c r="F101" s="11"/>
      <c r="G101" s="11"/>
      <c r="H101" s="11"/>
      <c r="I101" s="11"/>
      <c r="J101" s="11"/>
    </row>
    <row r="102" spans="1:13" ht="12.75" hidden="1">
      <c r="A102" s="347"/>
      <c r="B102" s="350" t="s">
        <v>301</v>
      </c>
      <c r="C102" s="352"/>
      <c r="D102" s="31">
        <f>D21+D25</f>
        <v>0</v>
      </c>
      <c r="E102" s="31"/>
      <c r="F102" s="31">
        <v>0</v>
      </c>
      <c r="G102" s="11"/>
      <c r="H102" s="128">
        <f>D102-F102</f>
        <v>0</v>
      </c>
      <c r="I102" s="11"/>
      <c r="J102" s="11"/>
      <c r="K102" s="31">
        <f>D52+D56</f>
        <v>0</v>
      </c>
      <c r="M102" s="128">
        <f>K102-L102</f>
        <v>0</v>
      </c>
    </row>
    <row r="103" spans="1:13" ht="12.75" hidden="1">
      <c r="A103" s="347"/>
      <c r="B103" s="350" t="s">
        <v>302</v>
      </c>
      <c r="C103" s="352"/>
      <c r="D103" s="31">
        <f>D22+D26</f>
        <v>15108.31258345807</v>
      </c>
      <c r="E103" s="31"/>
      <c r="F103" s="31">
        <v>15108.312583458068</v>
      </c>
      <c r="G103" s="11"/>
      <c r="H103" s="128">
        <f>D103-F103</f>
        <v>0</v>
      </c>
      <c r="I103" s="11"/>
      <c r="J103" s="11"/>
      <c r="K103" s="31">
        <f>D53+D57</f>
        <v>990.168422745433</v>
      </c>
      <c r="L103" s="31">
        <v>990.1684227454332</v>
      </c>
      <c r="M103" s="128">
        <f>K103-L103</f>
        <v>0</v>
      </c>
    </row>
    <row r="104" spans="1:13" ht="12.75" hidden="1">
      <c r="A104" s="347"/>
      <c r="B104" s="350" t="s">
        <v>303</v>
      </c>
      <c r="C104" s="352"/>
      <c r="D104" s="31">
        <f>D30</f>
        <v>15108.31258345807</v>
      </c>
      <c r="E104" s="31"/>
      <c r="F104" s="31">
        <v>15108.312583458068</v>
      </c>
      <c r="G104" s="11"/>
      <c r="H104" s="128">
        <f>D104-F104</f>
        <v>0</v>
      </c>
      <c r="I104" s="11"/>
      <c r="J104" s="11"/>
      <c r="K104" s="53">
        <f>SUM(K102:K103)</f>
        <v>990.168422745433</v>
      </c>
      <c r="L104" s="53">
        <f>SUM(L102:L103)</f>
        <v>990.1684227454332</v>
      </c>
      <c r="M104" s="128">
        <f>K104-L104</f>
        <v>0</v>
      </c>
    </row>
    <row r="105" spans="1:11" ht="12.75" hidden="1">
      <c r="A105" s="347"/>
      <c r="B105" s="350"/>
      <c r="C105" s="352"/>
      <c r="D105" s="31"/>
      <c r="E105" s="31"/>
      <c r="F105" s="31"/>
      <c r="G105" s="11"/>
      <c r="H105" s="349"/>
      <c r="I105" s="11"/>
      <c r="J105" s="11"/>
      <c r="K105" s="11"/>
    </row>
    <row r="106" spans="1:11" ht="12.75" hidden="1">
      <c r="A106" s="350" t="s">
        <v>306</v>
      </c>
      <c r="B106" s="346">
        <f>B21-'Table 3.20-CFS Non-CIOSS'!B69-'Table 3.20-CFS Non-CIOSS'!B74</f>
        <v>0</v>
      </c>
      <c r="C106" s="352"/>
      <c r="D106" s="31"/>
      <c r="E106" s="31"/>
      <c r="F106" s="31"/>
      <c r="G106" s="11"/>
      <c r="H106" s="128">
        <f>B52-'Table 3.21-CFS CIOSS Rejs'!B69-'Table 3.21-CFS CIOSS Rejs'!B74</f>
        <v>0</v>
      </c>
      <c r="I106" s="11"/>
      <c r="J106" s="11"/>
      <c r="K106" s="11"/>
    </row>
    <row r="107" spans="1:11" ht="12.75" hidden="1">
      <c r="A107" s="350" t="s">
        <v>304</v>
      </c>
      <c r="B107" s="346">
        <f>B22-'Table 3.20-CFS Non-CIOSS'!B70-'Table 3.20-CFS Non-CIOSS'!B75</f>
        <v>0</v>
      </c>
      <c r="C107" s="352"/>
      <c r="D107" s="31"/>
      <c r="E107" s="31"/>
      <c r="F107" s="31"/>
      <c r="G107" s="11"/>
      <c r="H107" s="128">
        <f>B53-'Table 3.21-CFS CIOSS Rejs'!B70-'Table 3.21-CFS CIOSS Rejs'!B75</f>
        <v>0</v>
      </c>
      <c r="I107" s="11"/>
      <c r="J107" s="11"/>
      <c r="K107" s="11"/>
    </row>
    <row r="108" spans="1:11" ht="12.75" hidden="1">
      <c r="A108" s="350" t="s">
        <v>305</v>
      </c>
      <c r="B108" s="346">
        <f>B30-'Table 3.20-CFS Non-CIOSS'!B71-'Table 3.20-CFS Non-CIOSS'!B76</f>
        <v>0</v>
      </c>
      <c r="C108" s="66"/>
      <c r="D108" s="4"/>
      <c r="E108" s="4"/>
      <c r="F108" s="4"/>
      <c r="G108" s="11"/>
      <c r="H108" s="128">
        <f>B61-'Table 3.21-CFS CIOSS Rejs'!B71-'Table 3.21-CFS CIOSS Rejs'!B76</f>
        <v>0</v>
      </c>
      <c r="I108" s="11"/>
      <c r="J108" s="11"/>
      <c r="K108" s="11"/>
    </row>
    <row r="109" spans="1:11" ht="12.75" hidden="1">
      <c r="A109" s="350"/>
      <c r="B109" s="350"/>
      <c r="C109" s="66"/>
      <c r="D109" s="66"/>
      <c r="E109" s="66"/>
      <c r="F109" s="66"/>
      <c r="G109" s="140"/>
      <c r="H109" s="349"/>
      <c r="I109" s="11"/>
      <c r="J109" s="11"/>
      <c r="K109" s="11"/>
    </row>
    <row r="110" spans="1:11" ht="12.75" hidden="1">
      <c r="A110" s="350" t="s">
        <v>437</v>
      </c>
      <c r="B110" s="346">
        <v>0</v>
      </c>
      <c r="C110" s="66"/>
      <c r="D110" s="346">
        <v>0</v>
      </c>
      <c r="E110" s="66"/>
      <c r="F110" s="66"/>
      <c r="G110" s="140"/>
      <c r="H110" s="349"/>
      <c r="I110" s="11"/>
      <c r="J110" s="11"/>
      <c r="K110" s="11"/>
    </row>
    <row r="111" spans="1:11" ht="12.75" hidden="1">
      <c r="A111" s="350" t="s">
        <v>438</v>
      </c>
      <c r="B111" s="346">
        <v>0</v>
      </c>
      <c r="C111" s="350"/>
      <c r="D111" s="346">
        <v>0</v>
      </c>
      <c r="E111" s="66"/>
      <c r="F111" s="66"/>
      <c r="G111" s="140"/>
      <c r="H111" s="349"/>
      <c r="I111" s="11"/>
      <c r="J111" s="11"/>
      <c r="K111" s="11"/>
    </row>
    <row r="112" spans="1:11" ht="12.75">
      <c r="A112" s="351"/>
      <c r="B112" s="141"/>
      <c r="C112" s="141"/>
      <c r="D112" s="141"/>
      <c r="E112" s="141"/>
      <c r="F112" s="141"/>
      <c r="G112" s="11"/>
      <c r="H112" s="11"/>
      <c r="I112" s="11"/>
      <c r="J112" s="11"/>
      <c r="K112" s="11"/>
    </row>
    <row r="113" spans="1:11" ht="12.75">
      <c r="A113" s="11" t="s">
        <v>235</v>
      </c>
      <c r="B113" s="11"/>
      <c r="C113" s="11"/>
      <c r="D113" s="11"/>
      <c r="E113" s="11"/>
      <c r="F113" s="11"/>
      <c r="G113" s="11"/>
      <c r="H113" s="11"/>
      <c r="I113" s="11"/>
      <c r="J113" s="11"/>
      <c r="K113" s="11"/>
    </row>
    <row r="114" spans="1:11" ht="12.75">
      <c r="A114" s="25" t="s">
        <v>788</v>
      </c>
      <c r="B114" s="11"/>
      <c r="C114" s="11"/>
      <c r="D114" s="11"/>
      <c r="E114" s="11"/>
      <c r="F114" s="11"/>
      <c r="G114" s="11"/>
      <c r="H114" s="11"/>
      <c r="I114" s="11"/>
      <c r="J114" s="11"/>
      <c r="K114" s="11"/>
    </row>
    <row r="115" spans="1:11" ht="12.75">
      <c r="A115" s="25" t="s">
        <v>649</v>
      </c>
      <c r="B115" s="11"/>
      <c r="C115" s="11"/>
      <c r="D115" s="11"/>
      <c r="E115" s="11"/>
      <c r="F115" s="11"/>
      <c r="G115" s="11"/>
      <c r="H115" s="11"/>
      <c r="I115" s="11"/>
      <c r="J115" s="11"/>
      <c r="K115" s="11"/>
    </row>
    <row r="116" spans="1:11" ht="12.75">
      <c r="A116" s="25" t="s">
        <v>801</v>
      </c>
      <c r="B116" s="11"/>
      <c r="C116" s="11"/>
      <c r="D116" s="11"/>
      <c r="E116" s="11"/>
      <c r="F116" s="11"/>
      <c r="G116" s="11"/>
      <c r="H116" s="11"/>
      <c r="I116" s="11"/>
      <c r="J116" s="11"/>
      <c r="K116" s="11"/>
    </row>
    <row r="117" spans="1:11" ht="12.75">
      <c r="A117" s="25" t="s">
        <v>93</v>
      </c>
      <c r="B117" s="11"/>
      <c r="C117" s="11"/>
      <c r="D117" s="11"/>
      <c r="E117" s="11"/>
      <c r="F117" s="11"/>
      <c r="G117" s="11"/>
      <c r="H117" s="11"/>
      <c r="I117" s="11"/>
      <c r="J117" s="11"/>
      <c r="K117" s="11"/>
    </row>
    <row r="118" spans="2:11" ht="12.75">
      <c r="B118" s="11"/>
      <c r="C118" s="11"/>
      <c r="D118" s="11"/>
      <c r="E118" s="11"/>
      <c r="F118" s="11"/>
      <c r="G118" s="11"/>
      <c r="H118" s="11"/>
      <c r="I118" s="11"/>
      <c r="J118" s="11"/>
      <c r="K118" s="11"/>
    </row>
    <row r="119" spans="2:11" ht="12.75">
      <c r="B119" s="11"/>
      <c r="C119" s="11"/>
      <c r="D119" s="11"/>
      <c r="E119" s="11"/>
      <c r="F119" s="11"/>
      <c r="G119" s="11"/>
      <c r="H119" s="11"/>
      <c r="I119" s="11"/>
      <c r="J119" s="11"/>
      <c r="K119" s="11"/>
    </row>
    <row r="120" spans="2:11" ht="12.75">
      <c r="B120" s="11"/>
      <c r="C120" s="11"/>
      <c r="D120" s="11"/>
      <c r="E120" s="11"/>
      <c r="F120" s="11"/>
      <c r="G120" s="11"/>
      <c r="H120" s="11"/>
      <c r="I120" s="11"/>
      <c r="J120" s="11"/>
      <c r="K120" s="11"/>
    </row>
    <row r="121" spans="2:11" ht="12.75">
      <c r="B121" s="11"/>
      <c r="C121" s="11"/>
      <c r="D121" s="11"/>
      <c r="E121" s="11"/>
      <c r="F121" s="11"/>
      <c r="G121" s="11"/>
      <c r="H121" s="11"/>
      <c r="I121" s="11"/>
      <c r="J121" s="11"/>
      <c r="K121" s="11"/>
    </row>
    <row r="122" spans="2:11" ht="12.75">
      <c r="B122" s="11"/>
      <c r="C122" s="11"/>
      <c r="D122" s="11"/>
      <c r="E122" s="11"/>
      <c r="F122" s="11"/>
      <c r="G122" s="11"/>
      <c r="H122" s="11"/>
      <c r="I122" s="11"/>
      <c r="J122" s="11"/>
      <c r="K122" s="11"/>
    </row>
    <row r="123" spans="2:11" ht="12.75">
      <c r="B123" s="11"/>
      <c r="C123" s="11"/>
      <c r="D123" s="11"/>
      <c r="E123" s="11"/>
      <c r="F123" s="11"/>
      <c r="G123" s="11"/>
      <c r="H123" s="11"/>
      <c r="I123" s="11"/>
      <c r="J123" s="11"/>
      <c r="K123" s="11"/>
    </row>
    <row r="124" spans="2:11" ht="12.75">
      <c r="B124" s="11"/>
      <c r="C124" s="11"/>
      <c r="D124" s="11"/>
      <c r="E124" s="11"/>
      <c r="F124" s="11"/>
      <c r="G124" s="11"/>
      <c r="H124" s="11"/>
      <c r="I124" s="11"/>
      <c r="J124" s="11"/>
      <c r="K124" s="11"/>
    </row>
    <row r="125" spans="2:11" ht="12.75">
      <c r="B125" s="11"/>
      <c r="C125" s="11"/>
      <c r="D125" s="11"/>
      <c r="E125" s="11"/>
      <c r="F125" s="11"/>
      <c r="G125" s="11"/>
      <c r="H125" s="11"/>
      <c r="I125" s="11"/>
      <c r="J125" s="11"/>
      <c r="K125" s="11"/>
    </row>
    <row r="126" spans="2:11" ht="12.75">
      <c r="B126" s="11"/>
      <c r="C126" s="11"/>
      <c r="D126" s="11"/>
      <c r="E126" s="11"/>
      <c r="F126" s="11"/>
      <c r="G126" s="11"/>
      <c r="H126" s="11"/>
      <c r="I126" s="11"/>
      <c r="J126" s="11"/>
      <c r="K126" s="11"/>
    </row>
    <row r="127" spans="2:11" ht="12.75">
      <c r="B127" s="11"/>
      <c r="C127" s="11"/>
      <c r="D127" s="11"/>
      <c r="E127" s="11"/>
      <c r="F127" s="11"/>
      <c r="G127" s="11"/>
      <c r="H127" s="11"/>
      <c r="I127" s="11"/>
      <c r="J127" s="11"/>
      <c r="K127" s="11"/>
    </row>
    <row r="128" spans="2:11" ht="12.75">
      <c r="B128" s="11"/>
      <c r="C128" s="11"/>
      <c r="D128" s="11"/>
      <c r="E128" s="11"/>
      <c r="F128" s="11"/>
      <c r="G128" s="11"/>
      <c r="H128" s="11"/>
      <c r="I128" s="11"/>
      <c r="J128" s="11"/>
      <c r="K128" s="11"/>
    </row>
    <row r="129" spans="2:11" ht="12.75">
      <c r="B129" s="11"/>
      <c r="C129" s="11"/>
      <c r="D129" s="11"/>
      <c r="E129" s="11"/>
      <c r="F129" s="11"/>
      <c r="G129" s="11"/>
      <c r="H129" s="11"/>
      <c r="I129" s="11"/>
      <c r="J129" s="11"/>
      <c r="K129" s="11"/>
    </row>
    <row r="130" spans="2:11" ht="12.75">
      <c r="B130" s="11"/>
      <c r="C130" s="11"/>
      <c r="D130" s="11"/>
      <c r="E130" s="11"/>
      <c r="F130" s="11"/>
      <c r="G130" s="11"/>
      <c r="H130" s="11"/>
      <c r="I130" s="11"/>
      <c r="J130" s="11"/>
      <c r="K130" s="11"/>
    </row>
    <row r="131" spans="2:11" ht="12.75">
      <c r="B131" s="11"/>
      <c r="C131" s="11"/>
      <c r="D131" s="11"/>
      <c r="E131" s="11"/>
      <c r="F131" s="11"/>
      <c r="G131" s="11"/>
      <c r="H131" s="11"/>
      <c r="I131" s="11"/>
      <c r="J131" s="11"/>
      <c r="K131" s="11"/>
    </row>
    <row r="132" spans="2:11" ht="12.75">
      <c r="B132" s="11"/>
      <c r="C132" s="11"/>
      <c r="D132" s="11"/>
      <c r="E132" s="11"/>
      <c r="F132" s="11"/>
      <c r="G132" s="11"/>
      <c r="H132" s="11"/>
      <c r="I132" s="11"/>
      <c r="J132" s="11"/>
      <c r="K132" s="11"/>
    </row>
    <row r="133" spans="2:11" ht="12.75">
      <c r="B133" s="11"/>
      <c r="C133" s="11"/>
      <c r="D133" s="11"/>
      <c r="E133" s="11"/>
      <c r="F133" s="11"/>
      <c r="G133" s="11"/>
      <c r="H133" s="11"/>
      <c r="I133" s="11"/>
      <c r="J133" s="11"/>
      <c r="K133" s="11"/>
    </row>
    <row r="134" spans="2:11" ht="12.75">
      <c r="B134" s="11"/>
      <c r="C134" s="11"/>
      <c r="D134" s="11"/>
      <c r="E134" s="11"/>
      <c r="F134" s="11"/>
      <c r="G134" s="11"/>
      <c r="H134" s="11"/>
      <c r="I134" s="11"/>
      <c r="J134" s="11"/>
      <c r="K134" s="11"/>
    </row>
    <row r="135" spans="2:11" ht="12.75">
      <c r="B135" s="11"/>
      <c r="C135" s="11"/>
      <c r="D135" s="11"/>
      <c r="E135" s="11"/>
      <c r="F135" s="11"/>
      <c r="G135" s="11"/>
      <c r="H135" s="11"/>
      <c r="I135" s="11"/>
      <c r="J135" s="11"/>
      <c r="K135" s="11"/>
    </row>
    <row r="136" spans="2:11" ht="12.75">
      <c r="B136" s="11"/>
      <c r="C136" s="11"/>
      <c r="D136" s="11"/>
      <c r="E136" s="11"/>
      <c r="F136" s="11"/>
      <c r="G136" s="11"/>
      <c r="H136" s="11"/>
      <c r="I136" s="11"/>
      <c r="J136" s="11"/>
      <c r="K136" s="11"/>
    </row>
  </sheetData>
  <sheetProtection/>
  <printOptions horizontalCentered="1"/>
  <pageMargins left="0.75" right="0.75" top="1" bottom="1" header="0.5" footer="0.5"/>
  <pageSetup fitToHeight="3" horizontalDpi="600" verticalDpi="600" orientation="landscape" r:id="rId1"/>
  <headerFooter alignWithMargins="0">
    <oddFooter>&amp;L&amp;F</oddFooter>
  </headerFooter>
  <rowBreaks count="2" manualBreakCount="2">
    <brk id="31" max="10" man="1"/>
    <brk id="62" max="10" man="1"/>
  </rowBreaks>
</worksheet>
</file>

<file path=xl/worksheets/sheet21.xml><?xml version="1.0" encoding="utf-8"?>
<worksheet xmlns="http://schemas.openxmlformats.org/spreadsheetml/2006/main" xmlns:r="http://schemas.openxmlformats.org/officeDocument/2006/relationships">
  <dimension ref="A1:P125"/>
  <sheetViews>
    <sheetView zoomScale="70" zoomScaleNormal="70" zoomScalePageLayoutView="0" workbookViewId="0" topLeftCell="A1">
      <selection activeCell="A1" sqref="A1"/>
    </sheetView>
  </sheetViews>
  <sheetFormatPr defaultColWidth="9.140625" defaultRowHeight="12.75"/>
  <cols>
    <col min="1" max="1" width="29.421875" style="0" customWidth="1"/>
    <col min="2" max="4" width="11.7109375" style="0" customWidth="1"/>
    <col min="5" max="5" width="2.7109375" style="0" customWidth="1"/>
    <col min="6" max="6" width="11.7109375" style="0" customWidth="1"/>
    <col min="7" max="7" width="2.7109375" style="0" customWidth="1"/>
    <col min="8" max="9" width="11.7109375" style="0" customWidth="1"/>
    <col min="11" max="11" width="9.28125" style="0" bestFit="1" customWidth="1"/>
  </cols>
  <sheetData>
    <row r="1" ht="15.75" customHeight="1">
      <c r="A1" s="158" t="s">
        <v>560</v>
      </c>
    </row>
    <row r="2" ht="15.75" customHeight="1">
      <c r="A2" s="158" t="s">
        <v>787</v>
      </c>
    </row>
    <row r="3" spans="2:10" ht="25.5">
      <c r="B3" s="168" t="s">
        <v>250</v>
      </c>
      <c r="C3" s="189" t="s">
        <v>249</v>
      </c>
      <c r="D3" s="8" t="s">
        <v>104</v>
      </c>
      <c r="E3" s="8"/>
      <c r="F3" s="199" t="s">
        <v>246</v>
      </c>
      <c r="G3" s="87"/>
      <c r="H3" s="160" t="s">
        <v>218</v>
      </c>
      <c r="I3" s="41" t="s">
        <v>133</v>
      </c>
      <c r="J3" s="11"/>
    </row>
    <row r="4" spans="1:10" ht="12.75">
      <c r="A4" s="15" t="s">
        <v>291</v>
      </c>
      <c r="B4" s="168"/>
      <c r="C4" s="189"/>
      <c r="D4" s="8"/>
      <c r="E4" s="8"/>
      <c r="F4" s="199"/>
      <c r="G4" s="87"/>
      <c r="H4" s="160"/>
      <c r="I4" s="41"/>
      <c r="J4" s="11"/>
    </row>
    <row r="5" spans="1:10" ht="12.75" customHeight="1">
      <c r="A5" s="89" t="s">
        <v>174</v>
      </c>
      <c r="B5" s="168"/>
      <c r="C5" s="189"/>
      <c r="D5" s="8"/>
      <c r="E5" s="8"/>
      <c r="F5" s="87"/>
      <c r="G5" s="87"/>
      <c r="H5" s="160"/>
      <c r="I5" s="41"/>
      <c r="J5" s="11"/>
    </row>
    <row r="6" spans="1:10" ht="12.75">
      <c r="A6" s="81" t="s">
        <v>278</v>
      </c>
      <c r="C6" s="52"/>
      <c r="D6" s="3"/>
      <c r="E6" s="3"/>
      <c r="F6" s="74"/>
      <c r="G6" s="74"/>
      <c r="H6" s="3"/>
      <c r="I6" s="3"/>
      <c r="J6" s="11"/>
    </row>
    <row r="7" spans="1:16" ht="12.75">
      <c r="A7" s="344" t="s">
        <v>130</v>
      </c>
      <c r="B7" s="105">
        <v>0</v>
      </c>
      <c r="C7" s="196">
        <v>0</v>
      </c>
      <c r="D7" s="83" t="str">
        <f>IF(ISERROR(C7/B7),"n/a",C7/B7)</f>
        <v>n/a</v>
      </c>
      <c r="E7" s="41"/>
      <c r="F7" s="54">
        <v>1.5595101237373266</v>
      </c>
      <c r="G7" s="75"/>
      <c r="H7" s="42">
        <f>C7*F7</f>
        <v>0</v>
      </c>
      <c r="I7" s="83" t="str">
        <f>IF(ISERROR(H7/B7),"n/a",H7/B7)</f>
        <v>n/a</v>
      </c>
      <c r="J7" s="11"/>
      <c r="K7" s="345"/>
      <c r="L7" s="27"/>
      <c r="M7" s="27"/>
      <c r="N7" s="27"/>
      <c r="O7" s="27"/>
      <c r="P7" s="27"/>
    </row>
    <row r="8" spans="1:16" ht="12.75">
      <c r="A8" s="343" t="s">
        <v>292</v>
      </c>
      <c r="B8" s="105">
        <v>60068.71848343994</v>
      </c>
      <c r="C8" s="196">
        <v>9111.047439543412</v>
      </c>
      <c r="D8" s="83">
        <f>IF(ISERROR(C8/B8),"n/a",C8/B8)</f>
        <v>0.1516770736844535</v>
      </c>
      <c r="E8" s="41"/>
      <c r="F8" s="54">
        <v>1.5595101237373266</v>
      </c>
      <c r="G8" s="75"/>
      <c r="H8" s="42">
        <f>C8*F8</f>
        <v>14208.770719818998</v>
      </c>
      <c r="I8" s="83">
        <f>IF(ISERROR(H8/B8),"n/a",H8/B8)</f>
        <v>0.23654193194975764</v>
      </c>
      <c r="J8" s="11"/>
      <c r="K8" s="27"/>
      <c r="L8" s="27"/>
      <c r="M8" s="27"/>
      <c r="N8" s="27"/>
      <c r="O8" s="27"/>
      <c r="P8" s="27"/>
    </row>
    <row r="9" spans="1:16" ht="12.75">
      <c r="A9" s="344" t="s">
        <v>102</v>
      </c>
      <c r="B9" s="105">
        <f>SUM(B7:B8)</f>
        <v>60068.71848343994</v>
      </c>
      <c r="C9" s="175">
        <f>SUM(C7:C8)</f>
        <v>9111.047439543412</v>
      </c>
      <c r="D9" s="83">
        <f>IF(ISERROR(C9/B9),"n/a",C9/B9)</f>
        <v>0.1516770736844535</v>
      </c>
      <c r="E9" s="41"/>
      <c r="F9" s="54"/>
      <c r="G9" s="48"/>
      <c r="H9" s="42">
        <f>SUM(H7:H8)</f>
        <v>14208.770719818998</v>
      </c>
      <c r="I9" s="83">
        <f>H9/B9</f>
        <v>0.23654193194975764</v>
      </c>
      <c r="J9" s="11"/>
      <c r="K9" s="27"/>
      <c r="L9" s="27"/>
      <c r="M9" s="27"/>
      <c r="N9" s="27"/>
      <c r="O9" s="27"/>
      <c r="P9" s="27"/>
    </row>
    <row r="10" spans="1:10" ht="4.5" customHeight="1">
      <c r="A10" s="82"/>
      <c r="B10" s="105"/>
      <c r="C10" s="175"/>
      <c r="D10" s="83"/>
      <c r="E10" s="41"/>
      <c r="F10" s="54"/>
      <c r="G10" s="48"/>
      <c r="H10" s="42"/>
      <c r="I10" s="83"/>
      <c r="J10" s="11"/>
    </row>
    <row r="11" spans="1:10" ht="12.75">
      <c r="A11" s="81" t="s">
        <v>274</v>
      </c>
      <c r="B11" s="14"/>
      <c r="C11" s="196"/>
      <c r="D11" s="83"/>
      <c r="E11" s="41"/>
      <c r="F11" s="75"/>
      <c r="G11" s="75"/>
      <c r="H11" s="42"/>
      <c r="I11" s="83"/>
      <c r="J11" s="11"/>
    </row>
    <row r="12" spans="1:10" ht="12.75">
      <c r="A12" s="344" t="s">
        <v>130</v>
      </c>
      <c r="B12" s="105">
        <v>0</v>
      </c>
      <c r="C12" s="196">
        <v>0</v>
      </c>
      <c r="D12" s="83" t="str">
        <f>IF(ISERROR(C12/B12),"n/a",C12/B12)</f>
        <v>n/a</v>
      </c>
      <c r="E12" s="41"/>
      <c r="F12" s="54">
        <v>1.5595101237373266</v>
      </c>
      <c r="G12" s="48"/>
      <c r="H12" s="42">
        <f>C12*F12</f>
        <v>0</v>
      </c>
      <c r="I12" s="83" t="str">
        <f>IF(ISERROR(H12/B12),"n/a",H12/B12)</f>
        <v>n/a</v>
      </c>
      <c r="J12" s="11"/>
    </row>
    <row r="13" spans="1:10" ht="12.75">
      <c r="A13" s="343" t="s">
        <v>292</v>
      </c>
      <c r="B13" s="105">
        <v>35876.6323019704</v>
      </c>
      <c r="C13" s="196">
        <v>5520.200770672873</v>
      </c>
      <c r="D13" s="83">
        <f>IF(ISERROR(C13/B13),"n/a",C13/B13)</f>
        <v>0.15386619134733265</v>
      </c>
      <c r="E13" s="41"/>
      <c r="F13" s="54">
        <v>1.5595101237373266</v>
      </c>
      <c r="G13" s="48"/>
      <c r="H13" s="42">
        <f>C13*F13</f>
        <v>8608.808986926937</v>
      </c>
      <c r="I13" s="83">
        <f>IF(ISERROR(H13/B13),"n/a",H13/B13)</f>
        <v>0.2399558831070699</v>
      </c>
      <c r="J13" s="11"/>
    </row>
    <row r="14" spans="1:10" ht="12.75">
      <c r="A14" s="344" t="s">
        <v>102</v>
      </c>
      <c r="B14" s="105">
        <f>SUM(B12:B13)</f>
        <v>35876.6323019704</v>
      </c>
      <c r="C14" s="175">
        <f>SUM(C12:C13)</f>
        <v>5520.200770672873</v>
      </c>
      <c r="D14" s="83">
        <f>IF(ISERROR(C14/B14),"n/a",C14/B14)</f>
        <v>0.15386619134733265</v>
      </c>
      <c r="E14" s="41"/>
      <c r="F14" s="54"/>
      <c r="G14" s="48"/>
      <c r="H14" s="42">
        <f>SUM(H12:H13)</f>
        <v>8608.808986926937</v>
      </c>
      <c r="I14" s="83">
        <f>H14/B14</f>
        <v>0.2399558831070699</v>
      </c>
      <c r="J14" s="11"/>
    </row>
    <row r="15" spans="1:10" ht="4.5" customHeight="1">
      <c r="A15" s="82"/>
      <c r="B15" s="105"/>
      <c r="C15" s="175"/>
      <c r="D15" s="83"/>
      <c r="E15" s="41"/>
      <c r="F15" s="54"/>
      <c r="G15" s="48"/>
      <c r="H15" s="42"/>
      <c r="I15" s="83"/>
      <c r="J15" s="11"/>
    </row>
    <row r="16" spans="1:10" ht="12.75">
      <c r="A16" s="81" t="s">
        <v>279</v>
      </c>
      <c r="B16" s="105"/>
      <c r="C16" s="196"/>
      <c r="D16" s="92"/>
      <c r="E16" s="92"/>
      <c r="F16" s="54"/>
      <c r="G16" s="54"/>
      <c r="H16" s="46"/>
      <c r="I16" s="85"/>
      <c r="J16" s="11"/>
    </row>
    <row r="17" spans="1:10" ht="12.75">
      <c r="A17" s="344" t="s">
        <v>130</v>
      </c>
      <c r="B17" s="105">
        <v>0</v>
      </c>
      <c r="C17" s="196">
        <v>0</v>
      </c>
      <c r="D17" s="83" t="str">
        <f>IF(ISERROR(C17/B17),"n/a",C17/B17)</f>
        <v>n/a</v>
      </c>
      <c r="E17" s="41"/>
      <c r="F17" s="54">
        <v>1.5595101237373266</v>
      </c>
      <c r="G17" s="54"/>
      <c r="H17" s="42">
        <f>C17*F17</f>
        <v>0</v>
      </c>
      <c r="I17" s="83" t="str">
        <f>IF(ISERROR(H17/B17),"n/a",H17/B17)</f>
        <v>n/a</v>
      </c>
      <c r="J17" s="11"/>
    </row>
    <row r="18" spans="1:10" ht="12.75">
      <c r="A18" s="343" t="s">
        <v>292</v>
      </c>
      <c r="B18" s="105">
        <v>54898.515868794464</v>
      </c>
      <c r="C18" s="196">
        <v>8326.846236598276</v>
      </c>
      <c r="D18" s="83">
        <f>IF(ISERROR(C18/B18),"n/a",C18/B18)</f>
        <v>0.15167707368445346</v>
      </c>
      <c r="E18" s="41"/>
      <c r="F18" s="54">
        <v>1.5595101237373266</v>
      </c>
      <c r="G18" s="54"/>
      <c r="H18" s="42">
        <f>C18*F18</f>
        <v>12985.801004779069</v>
      </c>
      <c r="I18" s="83">
        <f>IF(ISERROR(H18/B18),"n/a",H18/B18)</f>
        <v>0.23654193194975762</v>
      </c>
      <c r="J18" s="11"/>
    </row>
    <row r="19" spans="1:10" ht="12.75">
      <c r="A19" s="344" t="s">
        <v>102</v>
      </c>
      <c r="B19" s="105">
        <f>SUM(B17:B18)</f>
        <v>54898.515868794464</v>
      </c>
      <c r="C19" s="175">
        <f>SUM(C17:C18)</f>
        <v>8326.846236598276</v>
      </c>
      <c r="D19" s="83">
        <f>IF(ISERROR(C19/B19),"n/a",C19/B19)</f>
        <v>0.15167707368445346</v>
      </c>
      <c r="E19" s="41"/>
      <c r="F19" s="54"/>
      <c r="G19" s="48"/>
      <c r="H19" s="42">
        <f>SUM(H17:H18)</f>
        <v>12985.801004779069</v>
      </c>
      <c r="I19" s="83">
        <f>H19/B19</f>
        <v>0.23654193194975762</v>
      </c>
      <c r="J19" s="11"/>
    </row>
    <row r="20" spans="1:10" ht="12.75">
      <c r="A20" s="11"/>
      <c r="B20" s="105"/>
      <c r="C20" s="175"/>
      <c r="D20" s="83"/>
      <c r="E20" s="41"/>
      <c r="F20" s="54"/>
      <c r="G20" s="48"/>
      <c r="H20" s="42"/>
      <c r="I20" s="83"/>
      <c r="J20" s="11"/>
    </row>
    <row r="21" spans="1:10" ht="12.75">
      <c r="A21" s="89" t="s">
        <v>175</v>
      </c>
      <c r="B21" s="14"/>
      <c r="C21" s="196"/>
      <c r="D21" s="85"/>
      <c r="E21" s="45"/>
      <c r="F21" s="76"/>
      <c r="G21" s="76"/>
      <c r="H21" s="46"/>
      <c r="I21" s="85"/>
      <c r="J21" s="11"/>
    </row>
    <row r="22" spans="1:10" ht="12.75">
      <c r="A22" s="81" t="s">
        <v>278</v>
      </c>
      <c r="B22" s="48"/>
      <c r="C22" s="196"/>
      <c r="D22" s="92"/>
      <c r="E22" s="48"/>
      <c r="F22" s="48"/>
      <c r="G22" s="48"/>
      <c r="H22" s="196"/>
      <c r="I22" s="92"/>
      <c r="J22" s="11"/>
    </row>
    <row r="23" spans="1:10" ht="12.75">
      <c r="A23" s="344" t="s">
        <v>130</v>
      </c>
      <c r="B23" s="105">
        <v>0</v>
      </c>
      <c r="C23" s="196">
        <f>D23*B23</f>
        <v>0</v>
      </c>
      <c r="D23" s="83">
        <v>0</v>
      </c>
      <c r="E23" s="41"/>
      <c r="F23" s="54">
        <v>1.5595101237373266</v>
      </c>
      <c r="G23" s="48"/>
      <c r="H23" s="42">
        <f>C23*F23</f>
        <v>0</v>
      </c>
      <c r="I23" s="83" t="str">
        <f>IF(ISERROR(H23/B23),"n/a",H23/B23)</f>
        <v>n/a</v>
      </c>
      <c r="J23" s="11"/>
    </row>
    <row r="24" spans="1:10" ht="12.75">
      <c r="A24" s="343" t="s">
        <v>292</v>
      </c>
      <c r="B24" s="105">
        <v>33373.2648434819</v>
      </c>
      <c r="C24" s="196">
        <f>D24*B24</f>
        <v>9308.501911867852</v>
      </c>
      <c r="D24" s="83">
        <v>0.2789209253432059</v>
      </c>
      <c r="E24" s="41"/>
      <c r="F24" s="54">
        <v>1.5595101237373266</v>
      </c>
      <c r="G24" s="48"/>
      <c r="H24" s="42">
        <f>C24*F24</f>
        <v>14516.702968386175</v>
      </c>
      <c r="I24" s="83">
        <f>IF(ISERROR(H24/B24),"n/a",H24/B24)</f>
        <v>0.4349800067949126</v>
      </c>
      <c r="J24" s="11"/>
    </row>
    <row r="25" spans="1:10" ht="12.75">
      <c r="A25" s="344" t="s">
        <v>102</v>
      </c>
      <c r="B25" s="105">
        <f>SUM(B23:B24)</f>
        <v>33373.2648434819</v>
      </c>
      <c r="C25" s="175">
        <f>SUM(C23:C24)</f>
        <v>9308.501911867852</v>
      </c>
      <c r="D25" s="83">
        <f>IF(ISERROR(C25/B25),"n/a",C25/B25)</f>
        <v>0.2789209253432059</v>
      </c>
      <c r="E25" s="41"/>
      <c r="F25" s="54"/>
      <c r="G25" s="48"/>
      <c r="H25" s="42">
        <f>SUM(H23:H24)</f>
        <v>14516.702968386175</v>
      </c>
      <c r="I25" s="83">
        <f>H25/B25</f>
        <v>0.4349800067949126</v>
      </c>
      <c r="J25" s="11"/>
    </row>
    <row r="26" spans="1:10" ht="4.5" customHeight="1">
      <c r="A26" s="82"/>
      <c r="B26" s="14"/>
      <c r="C26" s="196"/>
      <c r="D26" s="92"/>
      <c r="E26" s="202"/>
      <c r="F26" s="203"/>
      <c r="G26" s="203"/>
      <c r="H26" s="196"/>
      <c r="I26" s="92"/>
      <c r="J26" s="11"/>
    </row>
    <row r="27" spans="1:10" ht="12.75">
      <c r="A27" s="81" t="s">
        <v>274</v>
      </c>
      <c r="B27" s="48"/>
      <c r="C27" s="196"/>
      <c r="D27" s="92"/>
      <c r="E27" s="48"/>
      <c r="F27" s="48"/>
      <c r="G27" s="48"/>
      <c r="H27" s="196"/>
      <c r="I27" s="92"/>
      <c r="J27" s="11"/>
    </row>
    <row r="28" spans="1:10" ht="12.75">
      <c r="A28" s="344" t="s">
        <v>130</v>
      </c>
      <c r="B28" s="105">
        <v>0</v>
      </c>
      <c r="C28" s="196">
        <f>D28*B28</f>
        <v>0</v>
      </c>
      <c r="D28" s="83">
        <v>0</v>
      </c>
      <c r="E28" s="41"/>
      <c r="F28" s="54">
        <v>1.5595101237373266</v>
      </c>
      <c r="G28" s="76"/>
      <c r="H28" s="42">
        <f>C28*F28</f>
        <v>0</v>
      </c>
      <c r="I28" s="83" t="str">
        <f>IF(ISERROR(H28/B28),"n/a",H28/B28)</f>
        <v>n/a</v>
      </c>
      <c r="J28" s="11"/>
    </row>
    <row r="29" spans="1:10" ht="12.75">
      <c r="A29" s="343" t="s">
        <v>292</v>
      </c>
      <c r="B29" s="105">
        <v>0</v>
      </c>
      <c r="C29" s="196">
        <v>0</v>
      </c>
      <c r="D29" s="83" t="s">
        <v>106</v>
      </c>
      <c r="E29" s="41"/>
      <c r="F29" s="54">
        <v>1.5595101237373266</v>
      </c>
      <c r="G29" s="76"/>
      <c r="H29" s="42">
        <f>C29*F29</f>
        <v>0</v>
      </c>
      <c r="I29" s="83" t="str">
        <f>IF(ISERROR(H29/B29),"n/a",H29/B29)</f>
        <v>n/a</v>
      </c>
      <c r="J29" s="11"/>
    </row>
    <row r="30" spans="1:10" ht="12.75">
      <c r="A30" s="344" t="s">
        <v>102</v>
      </c>
      <c r="B30" s="105">
        <f>SUM(B28:B29)</f>
        <v>0</v>
      </c>
      <c r="C30" s="175">
        <f>SUM(C28:C29)</f>
        <v>0</v>
      </c>
      <c r="D30" s="83" t="str">
        <f>IF(ISERROR(C30/B30),"n/a",C30/B30)</f>
        <v>n/a</v>
      </c>
      <c r="E30" s="41"/>
      <c r="F30" s="54"/>
      <c r="G30" s="48"/>
      <c r="H30" s="42">
        <f>SUM(H28:H29)</f>
        <v>0</v>
      </c>
      <c r="I30" s="83" t="str">
        <f>IF(ISERROR(H30/B30),"n/a",H30/B30)</f>
        <v>n/a</v>
      </c>
      <c r="J30" s="11"/>
    </row>
    <row r="31" spans="1:10" ht="4.5" customHeight="1">
      <c r="A31" s="82"/>
      <c r="B31" s="14"/>
      <c r="C31" s="196"/>
      <c r="D31" s="85"/>
      <c r="E31" s="45"/>
      <c r="F31" s="76"/>
      <c r="G31" s="76"/>
      <c r="H31" s="46"/>
      <c r="I31" s="85"/>
      <c r="J31" s="11"/>
    </row>
    <row r="32" spans="1:10" ht="12.75">
      <c r="A32" s="81" t="s">
        <v>279</v>
      </c>
      <c r="B32" s="14"/>
      <c r="C32" s="196"/>
      <c r="D32" s="92"/>
      <c r="E32" s="202"/>
      <c r="F32" s="203"/>
      <c r="G32" s="203"/>
      <c r="H32" s="196"/>
      <c r="I32" s="92"/>
      <c r="J32" s="11"/>
    </row>
    <row r="33" spans="1:10" ht="12.75">
      <c r="A33" s="344" t="s">
        <v>130</v>
      </c>
      <c r="B33" s="105">
        <v>0</v>
      </c>
      <c r="C33" s="196">
        <f>D33*B33</f>
        <v>0</v>
      </c>
      <c r="D33" s="83">
        <v>0</v>
      </c>
      <c r="E33" s="41"/>
      <c r="F33" s="54">
        <v>1.5595101237373266</v>
      </c>
      <c r="G33" s="203"/>
      <c r="H33" s="42">
        <f>C33*F33</f>
        <v>0</v>
      </c>
      <c r="I33" s="83" t="str">
        <f>IF(ISERROR(H33/B33),"n/a",H33/B33)</f>
        <v>n/a</v>
      </c>
      <c r="J33" s="11"/>
    </row>
    <row r="34" spans="1:10" ht="12.75">
      <c r="A34" s="343" t="s">
        <v>292</v>
      </c>
      <c r="B34" s="105">
        <v>40491.07488740893</v>
      </c>
      <c r="C34" s="196">
        <f>D34*B34</f>
        <v>11293.808075737148</v>
      </c>
      <c r="D34" s="83">
        <v>0.27892092534320595</v>
      </c>
      <c r="E34" s="41"/>
      <c r="F34" s="54">
        <v>1.5595101237373266</v>
      </c>
      <c r="G34" s="203"/>
      <c r="H34" s="42">
        <f>C34*F34</f>
        <v>17612.80802965846</v>
      </c>
      <c r="I34" s="83">
        <f>IF(ISERROR(H34/B34),"n/a",H34/B34)</f>
        <v>0.4349800067949128</v>
      </c>
      <c r="J34" s="11"/>
    </row>
    <row r="35" spans="1:10" ht="12.75">
      <c r="A35" s="344" t="s">
        <v>102</v>
      </c>
      <c r="B35" s="105">
        <f>SUM(B33:B34)</f>
        <v>40491.07488740893</v>
      </c>
      <c r="C35" s="175">
        <f>SUM(C33:C34)</f>
        <v>11293.808075737148</v>
      </c>
      <c r="D35" s="83">
        <f>IF(ISERROR(C35/B35),"n/a",C35/B35)</f>
        <v>0.27892092534320595</v>
      </c>
      <c r="E35" s="41"/>
      <c r="F35" s="54"/>
      <c r="G35" s="48"/>
      <c r="H35" s="42">
        <f>SUM(H33:H34)</f>
        <v>17612.80802965846</v>
      </c>
      <c r="I35" s="83">
        <f>H35/B35</f>
        <v>0.4349800067949128</v>
      </c>
      <c r="J35" s="11"/>
    </row>
    <row r="36" spans="1:10" ht="12.75">
      <c r="A36" s="82"/>
      <c r="B36" s="105"/>
      <c r="C36" s="196"/>
      <c r="D36" s="83"/>
      <c r="E36" s="41"/>
      <c r="F36" s="54"/>
      <c r="G36" s="203"/>
      <c r="H36" s="42"/>
      <c r="I36" s="452"/>
      <c r="J36" s="11"/>
    </row>
    <row r="37" spans="1:10" ht="15.75">
      <c r="A37" s="158" t="s">
        <v>650</v>
      </c>
      <c r="J37" s="11"/>
    </row>
    <row r="38" spans="1:10" ht="15.75">
      <c r="A38" s="158" t="s">
        <v>787</v>
      </c>
      <c r="J38" s="11"/>
    </row>
    <row r="39" spans="2:10" ht="25.5">
      <c r="B39" s="168" t="s">
        <v>250</v>
      </c>
      <c r="C39" s="189" t="s">
        <v>249</v>
      </c>
      <c r="D39" s="8" t="s">
        <v>104</v>
      </c>
      <c r="E39" s="8"/>
      <c r="F39" s="199" t="s">
        <v>246</v>
      </c>
      <c r="G39" s="87"/>
      <c r="H39" s="160" t="s">
        <v>218</v>
      </c>
      <c r="I39" s="41" t="s">
        <v>133</v>
      </c>
      <c r="J39" s="11"/>
    </row>
    <row r="40" spans="1:10" ht="12.75">
      <c r="A40" s="15" t="s">
        <v>290</v>
      </c>
      <c r="B40" s="14"/>
      <c r="C40" s="196"/>
      <c r="D40" s="92"/>
      <c r="E40" s="202"/>
      <c r="F40" s="203"/>
      <c r="G40" s="203"/>
      <c r="H40" s="196"/>
      <c r="I40" s="92"/>
      <c r="J40" s="11"/>
    </row>
    <row r="41" spans="1:10" ht="12.75">
      <c r="A41" s="89" t="s">
        <v>170</v>
      </c>
      <c r="B41" s="48"/>
      <c r="C41" s="196"/>
      <c r="D41" s="92"/>
      <c r="E41" s="48"/>
      <c r="F41" s="48"/>
      <c r="G41" s="48"/>
      <c r="H41" s="196"/>
      <c r="I41" s="92"/>
      <c r="J41" s="11"/>
    </row>
    <row r="42" spans="1:10" ht="12.75">
      <c r="A42" s="81" t="s">
        <v>289</v>
      </c>
      <c r="B42" s="105"/>
      <c r="C42" s="196"/>
      <c r="D42" s="83"/>
      <c r="E42" s="41"/>
      <c r="F42" s="54"/>
      <c r="G42" s="75"/>
      <c r="H42" s="42"/>
      <c r="I42" s="83"/>
      <c r="J42" s="11"/>
    </row>
    <row r="43" spans="1:10" ht="12.75">
      <c r="A43" s="344" t="s">
        <v>130</v>
      </c>
      <c r="B43" s="105">
        <v>0</v>
      </c>
      <c r="C43" s="196">
        <v>0</v>
      </c>
      <c r="D43" s="83" t="str">
        <f>IF(ISERROR(C43/B43),"n/a",C43/B43)</f>
        <v>n/a</v>
      </c>
      <c r="E43" s="41"/>
      <c r="F43" s="54">
        <v>1.5595101237373266</v>
      </c>
      <c r="G43" s="48"/>
      <c r="H43" s="42">
        <f>C43*F43</f>
        <v>0</v>
      </c>
      <c r="I43" s="83" t="str">
        <f>IF(ISERROR(H43/B43),"n/a",H43/B43)</f>
        <v>n/a</v>
      </c>
      <c r="J43" s="11"/>
    </row>
    <row r="44" spans="1:10" ht="12.75">
      <c r="A44" s="343" t="s">
        <v>292</v>
      </c>
      <c r="B44" s="105">
        <v>848.3562923833132</v>
      </c>
      <c r="C44" s="196">
        <v>170.2307065345941</v>
      </c>
      <c r="D44" s="83">
        <f>IF(ISERROR(C44/B44),"n/a",C44/B44)</f>
        <v>0.2006594494117086</v>
      </c>
      <c r="E44" s="41"/>
      <c r="F44" s="54">
        <v>1.5595101237373266</v>
      </c>
      <c r="G44" s="48"/>
      <c r="H44" s="42">
        <f>C44*F44</f>
        <v>265.4765102116574</v>
      </c>
      <c r="I44" s="83">
        <f>IF(ISERROR(H44/B44),"n/a",H44/B44)</f>
        <v>0.31293044278111753</v>
      </c>
      <c r="J44" s="11"/>
    </row>
    <row r="45" spans="1:10" ht="12.75">
      <c r="A45" s="344" t="s">
        <v>102</v>
      </c>
      <c r="B45" s="105">
        <f>SUM(B43:B44)</f>
        <v>848.3562923833132</v>
      </c>
      <c r="C45" s="175">
        <f>SUM(C43:C44)</f>
        <v>170.2307065345941</v>
      </c>
      <c r="D45" s="83">
        <f>IF(ISERROR(C45/B45),"n/a",C45/B45)</f>
        <v>0.2006594494117086</v>
      </c>
      <c r="E45" s="41"/>
      <c r="F45" s="54"/>
      <c r="G45" s="48"/>
      <c r="H45" s="42">
        <f>SUM(H43:H44)</f>
        <v>265.4765102116574</v>
      </c>
      <c r="I45" s="83">
        <f>H45/B45</f>
        <v>0.31293044278111753</v>
      </c>
      <c r="J45" s="11"/>
    </row>
    <row r="46" spans="1:10" ht="4.5" customHeight="1">
      <c r="A46" s="111"/>
      <c r="B46" s="105"/>
      <c r="C46" s="175"/>
      <c r="D46" s="83"/>
      <c r="E46" s="41"/>
      <c r="F46" s="54"/>
      <c r="G46" s="48"/>
      <c r="H46" s="42"/>
      <c r="I46" s="83"/>
      <c r="J46" s="11"/>
    </row>
    <row r="47" spans="1:10" ht="12.75">
      <c r="A47" s="81" t="s">
        <v>168</v>
      </c>
      <c r="B47" s="105"/>
      <c r="C47" s="196"/>
      <c r="D47" s="83"/>
      <c r="E47" s="41"/>
      <c r="F47" s="54"/>
      <c r="G47" s="48"/>
      <c r="H47" s="42"/>
      <c r="I47" s="83"/>
      <c r="J47" s="11"/>
    </row>
    <row r="48" spans="1:10" ht="12.75">
      <c r="A48" s="344" t="s">
        <v>130</v>
      </c>
      <c r="B48" s="105">
        <v>0</v>
      </c>
      <c r="C48" s="196">
        <v>0</v>
      </c>
      <c r="D48" s="83" t="str">
        <f>IF(ISERROR(C48/B48),"n/a",C48/B48)</f>
        <v>n/a</v>
      </c>
      <c r="E48" s="41"/>
      <c r="F48" s="54">
        <v>1.5595101237373266</v>
      </c>
      <c r="G48" s="75"/>
      <c r="H48" s="42">
        <f>C48*F48</f>
        <v>0</v>
      </c>
      <c r="I48" s="83" t="str">
        <f>IF(ISERROR(H48/B48),"n/a",H48/B48)</f>
        <v>n/a</v>
      </c>
      <c r="J48" s="11"/>
    </row>
    <row r="49" spans="1:10" ht="12.75">
      <c r="A49" s="343" t="s">
        <v>292</v>
      </c>
      <c r="B49" s="105">
        <v>5306.843990645356</v>
      </c>
      <c r="C49" s="196">
        <v>1064.8683932767312</v>
      </c>
      <c r="D49" s="83">
        <f>IF(ISERROR(C49/B49),"n/a",C49/B49)</f>
        <v>0.20065944941170855</v>
      </c>
      <c r="E49" s="41"/>
      <c r="F49" s="54">
        <v>1.5595101237373266</v>
      </c>
      <c r="G49" s="75"/>
      <c r="H49" s="42">
        <f>C49*F49</f>
        <v>1660.6730397629633</v>
      </c>
      <c r="I49" s="83">
        <f>IF(ISERROR(H49/B49),"n/a",H49/B49)</f>
        <v>0.3129304427811174</v>
      </c>
      <c r="J49" s="11"/>
    </row>
    <row r="50" spans="1:10" ht="12.75">
      <c r="A50" s="344" t="s">
        <v>102</v>
      </c>
      <c r="B50" s="105">
        <f>SUM(B48:B49)</f>
        <v>5306.843990645356</v>
      </c>
      <c r="C50" s="175">
        <f>SUM(C48:C49)</f>
        <v>1064.8683932767312</v>
      </c>
      <c r="D50" s="83">
        <f>IF(ISERROR(C50/B50),"n/a",C50/B50)</f>
        <v>0.20065944941170855</v>
      </c>
      <c r="E50" s="41"/>
      <c r="F50" s="54"/>
      <c r="G50" s="48"/>
      <c r="H50" s="42">
        <f>SUM(H48:H49)</f>
        <v>1660.6730397629633</v>
      </c>
      <c r="I50" s="83">
        <f>H50/B50</f>
        <v>0.3129304427811174</v>
      </c>
      <c r="J50" s="11"/>
    </row>
    <row r="51" spans="1:10" ht="4.5" customHeight="1">
      <c r="A51" s="111"/>
      <c r="B51" s="105"/>
      <c r="C51" s="175"/>
      <c r="D51" s="83"/>
      <c r="E51" s="41"/>
      <c r="F51" s="54"/>
      <c r="G51" s="48"/>
      <c r="H51" s="42"/>
      <c r="I51" s="83"/>
      <c r="J51" s="11"/>
    </row>
    <row r="52" spans="1:10" ht="12.75">
      <c r="A52" s="89" t="s">
        <v>169</v>
      </c>
      <c r="B52" s="14"/>
      <c r="C52" s="196"/>
      <c r="D52" s="92"/>
      <c r="E52" s="202"/>
      <c r="F52" s="203"/>
      <c r="G52" s="203"/>
      <c r="H52" s="196"/>
      <c r="I52" s="92"/>
      <c r="J52" s="11"/>
    </row>
    <row r="53" spans="1:10" ht="12.75">
      <c r="A53" s="81" t="s">
        <v>289</v>
      </c>
      <c r="B53" s="14"/>
      <c r="C53" s="196"/>
      <c r="D53" s="92"/>
      <c r="E53" s="202"/>
      <c r="F53" s="203"/>
      <c r="G53" s="203"/>
      <c r="H53" s="196"/>
      <c r="I53" s="92"/>
      <c r="J53" s="11"/>
    </row>
    <row r="54" spans="1:10" ht="12.75">
      <c r="A54" s="344" t="s">
        <v>130</v>
      </c>
      <c r="B54" s="105">
        <v>0</v>
      </c>
      <c r="C54" s="196">
        <v>0</v>
      </c>
      <c r="D54" s="83" t="str">
        <f>IF(ISERROR(C54/B54),"n/a",C54/B54)</f>
        <v>n/a</v>
      </c>
      <c r="E54" s="41"/>
      <c r="F54" s="54">
        <v>1.5595101237373266</v>
      </c>
      <c r="G54" s="75"/>
      <c r="H54" s="42">
        <f>IF(B54=0,0,C54*F54)</f>
        <v>0</v>
      </c>
      <c r="I54" s="83" t="str">
        <f>IF(ISERROR(H54/B54),"n/a",H54/B54)</f>
        <v>n/a</v>
      </c>
      <c r="J54" s="11"/>
    </row>
    <row r="55" spans="1:10" ht="12.75">
      <c r="A55" s="343" t="s">
        <v>292</v>
      </c>
      <c r="B55" s="105">
        <v>64.16300112230999</v>
      </c>
      <c r="C55" s="196">
        <v>12.874912477805562</v>
      </c>
      <c r="D55" s="83">
        <f>IF(ISERROR(C55/B55),"n/a",C55/B55)</f>
        <v>0.20065944941170857</v>
      </c>
      <c r="E55" s="41"/>
      <c r="F55" s="54">
        <v>1.5595101237373266</v>
      </c>
      <c r="G55" s="75"/>
      <c r="H55" s="42">
        <f>C55*F55</f>
        <v>20.0785563513698</v>
      </c>
      <c r="I55" s="83">
        <f>IF(ISERROR(H55/B55),"n/a",H55/B55)</f>
        <v>0.3129304427811174</v>
      </c>
      <c r="J55" s="11"/>
    </row>
    <row r="56" spans="1:10" ht="12.75">
      <c r="A56" s="344" t="s">
        <v>102</v>
      </c>
      <c r="B56" s="105">
        <f>SUM(B54:B55)</f>
        <v>64.16300112230999</v>
      </c>
      <c r="C56" s="175">
        <f>SUM(C54:C55)</f>
        <v>12.874912477805562</v>
      </c>
      <c r="D56" s="83">
        <f>IF(ISERROR(C56/B56),"n/a",C56/B56)</f>
        <v>0.20065944941170857</v>
      </c>
      <c r="E56" s="41"/>
      <c r="F56" s="54"/>
      <c r="G56" s="48"/>
      <c r="H56" s="42">
        <f>SUM(H54:H55)</f>
        <v>20.0785563513698</v>
      </c>
      <c r="I56" s="83">
        <f>H56/B56</f>
        <v>0.3129304427811174</v>
      </c>
      <c r="J56" s="11"/>
    </row>
    <row r="57" spans="1:10" ht="4.5" customHeight="1">
      <c r="A57" s="111"/>
      <c r="B57" s="105"/>
      <c r="C57" s="175"/>
      <c r="D57" s="83"/>
      <c r="E57" s="41"/>
      <c r="F57" s="54"/>
      <c r="G57" s="48"/>
      <c r="H57" s="42"/>
      <c r="I57" s="83"/>
      <c r="J57" s="11"/>
    </row>
    <row r="58" spans="1:10" ht="12.75">
      <c r="A58" s="81" t="s">
        <v>168</v>
      </c>
      <c r="B58" s="14"/>
      <c r="C58" s="196"/>
      <c r="D58" s="85"/>
      <c r="E58" s="45"/>
      <c r="F58" s="76"/>
      <c r="G58" s="76"/>
      <c r="H58" s="46"/>
      <c r="I58" s="85"/>
      <c r="J58" s="11"/>
    </row>
    <row r="59" spans="1:10" ht="12.75">
      <c r="A59" s="344" t="s">
        <v>130</v>
      </c>
      <c r="B59" s="105">
        <v>0</v>
      </c>
      <c r="C59" s="196">
        <v>0</v>
      </c>
      <c r="D59" s="83" t="str">
        <f>IF(ISERROR(C59/B59),"n/a",C59/B59)</f>
        <v>n/a</v>
      </c>
      <c r="E59" s="41"/>
      <c r="F59" s="54">
        <v>1.5595101237373266</v>
      </c>
      <c r="G59" s="75"/>
      <c r="H59" s="42">
        <f>C59*F59</f>
        <v>0</v>
      </c>
      <c r="I59" s="83" t="str">
        <f>IF(ISERROR(H59/B59),"n/a",H59/B59)</f>
        <v>n/a</v>
      </c>
      <c r="J59" s="11"/>
    </row>
    <row r="60" spans="1:10" ht="12.75">
      <c r="A60" s="343" t="s">
        <v>292</v>
      </c>
      <c r="B60" s="105">
        <v>0</v>
      </c>
      <c r="C60" s="196">
        <v>0</v>
      </c>
      <c r="D60" s="83" t="str">
        <f>IF(ISERROR(C60/B60),"n/a",C60/B60)</f>
        <v>n/a</v>
      </c>
      <c r="E60" s="41"/>
      <c r="F60" s="54">
        <v>1.5595101237373266</v>
      </c>
      <c r="G60" s="75"/>
      <c r="H60" s="42">
        <f>C60*F60</f>
        <v>0</v>
      </c>
      <c r="I60" s="83" t="str">
        <f>IF(ISERROR(H60/B60),"n/a",H60/B60)</f>
        <v>n/a</v>
      </c>
      <c r="J60" s="11"/>
    </row>
    <row r="61" spans="1:10" ht="12.75">
      <c r="A61" s="344" t="s">
        <v>102</v>
      </c>
      <c r="B61" s="105">
        <f>SUM(B59:B60)</f>
        <v>0</v>
      </c>
      <c r="C61" s="175">
        <f>SUM(C59:C60)</f>
        <v>0</v>
      </c>
      <c r="D61" s="83" t="str">
        <f>IF(ISERROR(C61/B61),"n/a",C61/B61)</f>
        <v>n/a</v>
      </c>
      <c r="E61" s="41"/>
      <c r="F61" s="54"/>
      <c r="G61" s="48"/>
      <c r="H61" s="42">
        <f>SUM(H59:H60)</f>
        <v>0</v>
      </c>
      <c r="I61" s="83" t="str">
        <f>IF(ISERROR(H61/B61),"n/a",H61/B61)</f>
        <v>n/a</v>
      </c>
      <c r="J61" s="11"/>
    </row>
    <row r="62" spans="1:10" ht="12.75">
      <c r="A62" s="344"/>
      <c r="B62" s="105"/>
      <c r="C62" s="175"/>
      <c r="D62" s="83"/>
      <c r="E62" s="41"/>
      <c r="F62" s="54"/>
      <c r="G62" s="48"/>
      <c r="H62" s="42"/>
      <c r="I62" s="83"/>
      <c r="J62" s="11"/>
    </row>
    <row r="63" spans="1:10" ht="15.75">
      <c r="A63" s="158" t="s">
        <v>651</v>
      </c>
      <c r="J63" s="11"/>
    </row>
    <row r="64" spans="1:10" ht="15.75">
      <c r="A64" s="158" t="s">
        <v>787</v>
      </c>
      <c r="J64" s="11"/>
    </row>
    <row r="65" spans="2:10" ht="25.5">
      <c r="B65" s="168" t="s">
        <v>250</v>
      </c>
      <c r="C65" s="189" t="s">
        <v>249</v>
      </c>
      <c r="D65" s="8" t="s">
        <v>104</v>
      </c>
      <c r="E65" s="8"/>
      <c r="F65" s="199" t="s">
        <v>246</v>
      </c>
      <c r="G65" s="87"/>
      <c r="H65" s="160" t="s">
        <v>218</v>
      </c>
      <c r="I65" s="41" t="s">
        <v>133</v>
      </c>
      <c r="J65" s="11"/>
    </row>
    <row r="66" spans="1:10" ht="12.75">
      <c r="A66" s="15" t="s">
        <v>783</v>
      </c>
      <c r="B66" s="168"/>
      <c r="C66" s="189"/>
      <c r="D66" s="8"/>
      <c r="E66" s="8"/>
      <c r="F66" s="199"/>
      <c r="G66" s="87"/>
      <c r="H66" s="160"/>
      <c r="I66" s="41"/>
      <c r="J66" s="11"/>
    </row>
    <row r="67" spans="1:16" ht="12.75">
      <c r="A67" s="89" t="s">
        <v>174</v>
      </c>
      <c r="B67" s="105"/>
      <c r="C67" s="175"/>
      <c r="D67" s="83"/>
      <c r="E67" s="41"/>
      <c r="F67" s="54"/>
      <c r="G67" s="48"/>
      <c r="H67" s="42"/>
      <c r="I67" s="83"/>
      <c r="J67" s="11"/>
      <c r="M67" s="140"/>
      <c r="N67" s="140"/>
      <c r="O67" s="140"/>
      <c r="P67" s="140"/>
    </row>
    <row r="68" spans="1:10" ht="12.75">
      <c r="A68" s="82" t="s">
        <v>274</v>
      </c>
      <c r="B68" s="105"/>
      <c r="C68" s="175"/>
      <c r="D68" s="83"/>
      <c r="E68" s="41"/>
      <c r="F68" s="54"/>
      <c r="G68" s="48"/>
      <c r="H68" s="42"/>
      <c r="I68" s="83"/>
      <c r="J68" s="11"/>
    </row>
    <row r="69" spans="1:10" ht="12.75">
      <c r="A69" s="344" t="s">
        <v>130</v>
      </c>
      <c r="B69" s="105">
        <v>0</v>
      </c>
      <c r="C69" s="196">
        <v>0</v>
      </c>
      <c r="D69" s="83" t="str">
        <f>IF(ISERROR(C69/B69),"n/a",C69/B69)</f>
        <v>n/a</v>
      </c>
      <c r="E69" s="41"/>
      <c r="F69" s="54">
        <v>1.5595101237373266</v>
      </c>
      <c r="G69" s="48"/>
      <c r="H69" s="42">
        <f>C69*F69</f>
        <v>0</v>
      </c>
      <c r="I69" s="83" t="str">
        <f>IF(ISERROR(H69/B69),"n/a",H69/B69)</f>
        <v>n/a</v>
      </c>
      <c r="J69" s="11"/>
    </row>
    <row r="70" spans="1:10" ht="12.75">
      <c r="A70" s="343" t="s">
        <v>292</v>
      </c>
      <c r="B70" s="105">
        <v>4284.267430090634</v>
      </c>
      <c r="C70" s="196">
        <v>52.339228668442274</v>
      </c>
      <c r="D70" s="83">
        <f>IF(ISERROR(C70/B70),"n/a",C70/B70)</f>
        <v>0.012216611012850577</v>
      </c>
      <c r="E70" s="41"/>
      <c r="F70" s="54">
        <v>1.5595101237373266</v>
      </c>
      <c r="G70" s="48"/>
      <c r="H70" s="42">
        <f>C70*F70</f>
        <v>81.62355697703865</v>
      </c>
      <c r="I70" s="83">
        <f>IF(ISERROR(H70/B70),"n/a",H70/B70)</f>
        <v>0.01905192855230139</v>
      </c>
      <c r="J70" s="11"/>
    </row>
    <row r="71" spans="1:10" ht="12.75">
      <c r="A71" s="344" t="s">
        <v>102</v>
      </c>
      <c r="B71" s="105">
        <f>SUM(B69:B70)</f>
        <v>4284.267430090634</v>
      </c>
      <c r="C71" s="196">
        <f>SUM(C69:C70)</f>
        <v>52.339228668442274</v>
      </c>
      <c r="D71" s="83">
        <f>IF(ISERROR(C71/B71),"n/a",C71/B71)</f>
        <v>0.012216611012850577</v>
      </c>
      <c r="E71" s="41"/>
      <c r="F71" s="54"/>
      <c r="G71" s="48"/>
      <c r="H71" s="42">
        <f>SUM(H69:H70)</f>
        <v>81.62355697703865</v>
      </c>
      <c r="I71" s="83">
        <f>H71/B71</f>
        <v>0.01905192855230139</v>
      </c>
      <c r="J71" s="11"/>
    </row>
    <row r="72" spans="1:10" ht="4.5" customHeight="1">
      <c r="A72" s="111"/>
      <c r="B72" s="105"/>
      <c r="C72" s="175"/>
      <c r="D72" s="83"/>
      <c r="E72" s="41"/>
      <c r="F72" s="54"/>
      <c r="G72" s="48"/>
      <c r="H72" s="42"/>
      <c r="I72" s="83"/>
      <c r="J72" s="11"/>
    </row>
    <row r="73" spans="1:10" ht="12.75">
      <c r="A73" s="81" t="s">
        <v>279</v>
      </c>
      <c r="B73" s="105"/>
      <c r="C73" s="175"/>
      <c r="D73" s="83"/>
      <c r="E73" s="41"/>
      <c r="F73" s="54"/>
      <c r="G73" s="48"/>
      <c r="H73" s="42"/>
      <c r="I73" s="83"/>
      <c r="J73" s="11"/>
    </row>
    <row r="74" spans="1:10" ht="12.75">
      <c r="A74" s="344" t="s">
        <v>130</v>
      </c>
      <c r="B74" s="105">
        <v>0</v>
      </c>
      <c r="C74" s="196">
        <v>0</v>
      </c>
      <c r="D74" s="83" t="str">
        <f>IF(ISERROR(C74/B74),"n/a",C74/B74)</f>
        <v>n/a</v>
      </c>
      <c r="E74" s="41"/>
      <c r="F74" s="54">
        <v>1.5595101237373266</v>
      </c>
      <c r="G74" s="48"/>
      <c r="H74" s="42">
        <f>C74*F74</f>
        <v>0</v>
      </c>
      <c r="I74" s="83" t="str">
        <f>IF(ISERROR(H74/B74),"n/a",H74/B74)</f>
        <v>n/a</v>
      </c>
      <c r="J74" s="11"/>
    </row>
    <row r="75" spans="1:10" ht="12.75">
      <c r="A75" s="343" t="s">
        <v>292</v>
      </c>
      <c r="B75" s="105">
        <v>59707.069792576396</v>
      </c>
      <c r="C75" s="196">
        <v>729.4180463730227</v>
      </c>
      <c r="D75" s="83">
        <f>IF(ISERROR(C75/B75),"n/a",C75/B75)</f>
        <v>0.012216611012850508</v>
      </c>
      <c r="E75" s="41"/>
      <c r="F75" s="54">
        <v>1.5595101237373266</v>
      </c>
      <c r="G75" s="48"/>
      <c r="H75" s="42">
        <f>C75*F75</f>
        <v>1137.5348277554315</v>
      </c>
      <c r="I75" s="83">
        <f>IF(ISERROR(H75/B75),"n/a",H75/B75)</f>
        <v>0.01905192855230128</v>
      </c>
      <c r="J75" s="11"/>
    </row>
    <row r="76" spans="1:10" ht="12.75">
      <c r="A76" s="344" t="s">
        <v>102</v>
      </c>
      <c r="B76" s="105">
        <f>SUM(B74:B75)</f>
        <v>59707.069792576396</v>
      </c>
      <c r="C76" s="196">
        <f>SUM(C74:C75)</f>
        <v>729.4180463730227</v>
      </c>
      <c r="D76" s="83">
        <f>IF(ISERROR(C76/B76),"n/a",C76/B76)</f>
        <v>0.012216611012850508</v>
      </c>
      <c r="E76" s="41"/>
      <c r="F76" s="54"/>
      <c r="G76" s="48"/>
      <c r="H76" s="42">
        <f>SUM(H74:H75)</f>
        <v>1137.5348277554315</v>
      </c>
      <c r="I76" s="83">
        <f>H76/B76</f>
        <v>0.01905192855230128</v>
      </c>
      <c r="J76" s="11"/>
    </row>
    <row r="77" spans="1:10" ht="4.5" customHeight="1">
      <c r="A77" s="344"/>
      <c r="B77" s="105"/>
      <c r="C77" s="175"/>
      <c r="D77" s="83"/>
      <c r="E77" s="41"/>
      <c r="F77" s="54"/>
      <c r="G77" s="48"/>
      <c r="H77" s="42"/>
      <c r="I77" s="83"/>
      <c r="J77" s="11"/>
    </row>
    <row r="78" spans="1:10" ht="12.75">
      <c r="A78" s="21" t="s">
        <v>308</v>
      </c>
      <c r="B78" s="105"/>
      <c r="C78" s="175"/>
      <c r="D78" s="83"/>
      <c r="E78" s="41"/>
      <c r="F78" s="54"/>
      <c r="G78" s="48"/>
      <c r="H78" s="42"/>
      <c r="I78" s="83"/>
      <c r="J78" s="11"/>
    </row>
    <row r="79" spans="1:10" ht="12.75">
      <c r="A79" s="82" t="s">
        <v>274</v>
      </c>
      <c r="B79" s="105"/>
      <c r="C79" s="175"/>
      <c r="D79" s="83"/>
      <c r="E79" s="41"/>
      <c r="F79" s="54"/>
      <c r="G79" s="48"/>
      <c r="H79" s="42"/>
      <c r="I79" s="83"/>
      <c r="J79" s="11"/>
    </row>
    <row r="80" spans="1:10" ht="12.75">
      <c r="A80" s="344" t="s">
        <v>130</v>
      </c>
      <c r="B80" s="105">
        <v>0</v>
      </c>
      <c r="C80" s="175">
        <v>0</v>
      </c>
      <c r="D80" s="83" t="str">
        <f>IF(ISERROR(C80/B80),"n/a",C80/B80)</f>
        <v>n/a</v>
      </c>
      <c r="E80" s="41"/>
      <c r="F80" s="54">
        <v>1.5595101237373266</v>
      </c>
      <c r="G80" s="48"/>
      <c r="H80" s="42">
        <f>C80*F80</f>
        <v>0</v>
      </c>
      <c r="I80" s="83" t="str">
        <f>IF(ISERROR(H80/B80),"n/a",H80/B80)</f>
        <v>n/a</v>
      </c>
      <c r="J80" s="11"/>
    </row>
    <row r="81" spans="1:10" ht="12.75">
      <c r="A81" s="343" t="s">
        <v>292</v>
      </c>
      <c r="B81" s="105">
        <v>4284.267430090634</v>
      </c>
      <c r="C81" s="175">
        <v>959.1734906189727</v>
      </c>
      <c r="D81" s="83">
        <f>IF(ISERROR(C81/B81),"n/a",C81/B81)</f>
        <v>0.22388273054156224</v>
      </c>
      <c r="E81" s="41"/>
      <c r="F81" s="54">
        <v>1.5595101237373266</v>
      </c>
      <c r="G81" s="48"/>
      <c r="H81" s="42">
        <f>C81*F81</f>
        <v>1495.8407690407576</v>
      </c>
      <c r="I81" s="83">
        <f>IF(ISERROR(H81/B81),"n/a",H81/B81)</f>
        <v>0.3491473848095223</v>
      </c>
      <c r="J81" s="11"/>
    </row>
    <row r="82" spans="1:10" ht="12.75">
      <c r="A82" s="344" t="s">
        <v>102</v>
      </c>
      <c r="B82" s="105">
        <f>SUM(B80:B81)</f>
        <v>4284.267430090634</v>
      </c>
      <c r="C82" s="196">
        <f>SUM(C80:C81)</f>
        <v>959.1734906189727</v>
      </c>
      <c r="D82" s="83">
        <f>IF(ISERROR(C82/B82),"n/a",C82/B82)</f>
        <v>0.22388273054156224</v>
      </c>
      <c r="E82" s="41"/>
      <c r="F82" s="54"/>
      <c r="G82" s="48"/>
      <c r="H82" s="42">
        <f>SUM(H80:H81)</f>
        <v>1495.8407690407576</v>
      </c>
      <c r="I82" s="83">
        <f>H82/B82</f>
        <v>0.3491473848095223</v>
      </c>
      <c r="J82" s="11"/>
    </row>
    <row r="83" spans="1:10" ht="4.5" customHeight="1">
      <c r="A83" s="111"/>
      <c r="B83" s="105"/>
      <c r="C83" s="175"/>
      <c r="D83" s="83"/>
      <c r="E83" s="41"/>
      <c r="F83" s="54"/>
      <c r="G83" s="48"/>
      <c r="H83" s="42"/>
      <c r="I83" s="83"/>
      <c r="J83" s="11"/>
    </row>
    <row r="84" spans="1:10" ht="12.75">
      <c r="A84" s="81" t="s">
        <v>279</v>
      </c>
      <c r="B84" s="105"/>
      <c r="C84" s="175"/>
      <c r="D84" s="83"/>
      <c r="E84" s="41"/>
      <c r="F84" s="54"/>
      <c r="G84" s="48"/>
      <c r="H84" s="42"/>
      <c r="I84" s="83"/>
      <c r="J84" s="11"/>
    </row>
    <row r="85" spans="1:10" ht="12.75">
      <c r="A85" s="344" t="s">
        <v>130</v>
      </c>
      <c r="B85" s="105">
        <v>0</v>
      </c>
      <c r="C85" s="175">
        <v>0</v>
      </c>
      <c r="D85" s="83" t="str">
        <f>IF(ISERROR(C85/B85),"n/a",C85/B85)</f>
        <v>n/a</v>
      </c>
      <c r="E85" s="41"/>
      <c r="F85" s="54">
        <v>1.5595101237373266</v>
      </c>
      <c r="G85" s="48"/>
      <c r="H85" s="42">
        <f>C85*F85</f>
        <v>0</v>
      </c>
      <c r="I85" s="83" t="str">
        <f>IF(ISERROR(H85/B85),"n/a",H85/B85)</f>
        <v>n/a</v>
      </c>
      <c r="J85" s="11"/>
    </row>
    <row r="86" spans="1:10" ht="12.75">
      <c r="A86" s="343" t="s">
        <v>292</v>
      </c>
      <c r="B86" s="105">
        <v>59707.069792576396</v>
      </c>
      <c r="C86" s="175">
        <v>13367.381817797632</v>
      </c>
      <c r="D86" s="83">
        <f>IF(ISERROR(C86/B86),"n/a",C86/B86)</f>
        <v>0.22388273054156224</v>
      </c>
      <c r="E86" s="41"/>
      <c r="F86" s="54">
        <v>1.5595101237373266</v>
      </c>
      <c r="G86" s="48"/>
      <c r="H86" s="42">
        <f>C86*F86</f>
        <v>20846.567272717675</v>
      </c>
      <c r="I86" s="83">
        <f>IF(ISERROR(H86/B86),"n/a",H86/B86)</f>
        <v>0.3491473848095223</v>
      </c>
      <c r="J86" s="11"/>
    </row>
    <row r="87" spans="1:10" ht="12.75">
      <c r="A87" s="344" t="s">
        <v>102</v>
      </c>
      <c r="B87" s="105">
        <f>SUM(B85:B86)</f>
        <v>59707.069792576396</v>
      </c>
      <c r="C87" s="196">
        <f>SUM(C85:C86)</f>
        <v>13367.381817797632</v>
      </c>
      <c r="D87" s="83">
        <f>IF(ISERROR(C87/B87),"n/a",C87/B87)</f>
        <v>0.22388273054156224</v>
      </c>
      <c r="E87" s="41"/>
      <c r="F87" s="54"/>
      <c r="G87" s="48"/>
      <c r="H87" s="42">
        <f>SUM(H85:H86)</f>
        <v>20846.567272717675</v>
      </c>
      <c r="I87" s="83">
        <f>H87/B87</f>
        <v>0.3491473848095223</v>
      </c>
      <c r="J87" s="11"/>
    </row>
    <row r="88" spans="1:10" ht="12.75" hidden="1">
      <c r="A88" s="343"/>
      <c r="B88" s="105"/>
      <c r="C88" s="196"/>
      <c r="D88" s="83"/>
      <c r="E88" s="41"/>
      <c r="F88" s="54"/>
      <c r="G88" s="48"/>
      <c r="H88" s="42"/>
      <c r="I88" s="83"/>
      <c r="J88" s="11"/>
    </row>
    <row r="89" spans="1:10" ht="12.75" hidden="1">
      <c r="A89" s="344"/>
      <c r="B89" s="105"/>
      <c r="C89" s="196"/>
      <c r="D89" s="83"/>
      <c r="E89" s="41"/>
      <c r="F89" s="54"/>
      <c r="G89" s="48"/>
      <c r="H89" s="42"/>
      <c r="I89" s="83"/>
      <c r="J89" s="11"/>
    </row>
    <row r="90" spans="1:10" ht="12.75" hidden="1">
      <c r="A90" s="27"/>
      <c r="B90" s="547" t="s">
        <v>193</v>
      </c>
      <c r="C90" s="32">
        <f>SUM(C7,C12,C17,C23,C28,C33,C43,C48,C54,C59)</f>
        <v>0</v>
      </c>
      <c r="D90" s="31">
        <v>0</v>
      </c>
      <c r="E90" s="132"/>
      <c r="F90" s="128">
        <f>C90-D90</f>
        <v>0</v>
      </c>
      <c r="G90" s="78"/>
      <c r="H90" s="64"/>
      <c r="I90" s="64"/>
      <c r="J90" s="11"/>
    </row>
    <row r="91" spans="1:10" ht="12.75" hidden="1">
      <c r="A91" s="140"/>
      <c r="B91" s="547" t="s">
        <v>194</v>
      </c>
      <c r="C91" s="32">
        <f>SUM(C8,C13,C18,C24,C29,C34,C44,C49,C55,C60)</f>
        <v>44808.378446708695</v>
      </c>
      <c r="D91" s="31">
        <v>44808.378446708695</v>
      </c>
      <c r="E91" s="130"/>
      <c r="F91" s="128">
        <f>C91-D91</f>
        <v>0</v>
      </c>
      <c r="G91" s="78"/>
      <c r="H91" s="64"/>
      <c r="I91" s="64"/>
      <c r="J91" s="11"/>
    </row>
    <row r="92" spans="1:10" ht="12.75" hidden="1">
      <c r="A92" s="140"/>
      <c r="B92" s="547" t="s">
        <v>195</v>
      </c>
      <c r="C92" s="32">
        <f>SUM(C90:C91)</f>
        <v>44808.378446708695</v>
      </c>
      <c r="D92" s="32">
        <f>SUM(D90:D91)</f>
        <v>44808.378446708695</v>
      </c>
      <c r="E92" s="137"/>
      <c r="F92" s="128">
        <f>C92-D92</f>
        <v>0</v>
      </c>
      <c r="G92" s="78"/>
      <c r="H92" s="64"/>
      <c r="I92" s="64"/>
      <c r="J92" s="11"/>
    </row>
    <row r="93" spans="1:10" ht="12.75" hidden="1">
      <c r="A93" s="140"/>
      <c r="B93" s="548" t="s">
        <v>196</v>
      </c>
      <c r="C93" s="31">
        <f>C43+C48+C54+C59</f>
        <v>0</v>
      </c>
      <c r="D93" s="31">
        <v>0</v>
      </c>
      <c r="E93" s="130"/>
      <c r="F93" s="128">
        <f>C93-D93</f>
        <v>0</v>
      </c>
      <c r="G93" s="78"/>
      <c r="H93" s="64"/>
      <c r="I93" s="64"/>
      <c r="J93" s="11"/>
    </row>
    <row r="94" spans="1:10" ht="12.75" hidden="1">
      <c r="A94" s="140"/>
      <c r="B94" s="548" t="s">
        <v>197</v>
      </c>
      <c r="C94" s="31">
        <f>C44+C49+C55+C60</f>
        <v>1247.9740122891308</v>
      </c>
      <c r="D94" s="31">
        <v>1247.9740122891308</v>
      </c>
      <c r="E94" s="130"/>
      <c r="F94" s="128">
        <f>C94-D94</f>
        <v>0</v>
      </c>
      <c r="G94" s="78"/>
      <c r="H94" s="64"/>
      <c r="I94" s="64"/>
      <c r="J94" s="11"/>
    </row>
    <row r="95" spans="1:10" ht="12.75" hidden="1">
      <c r="A95" s="11"/>
      <c r="C95" s="64"/>
      <c r="D95" s="64"/>
      <c r="E95" s="64"/>
      <c r="F95" s="78"/>
      <c r="G95" s="78"/>
      <c r="H95" s="64"/>
      <c r="I95" s="64"/>
      <c r="J95" s="11"/>
    </row>
    <row r="96" spans="1:10" ht="12.75" hidden="1">
      <c r="A96" s="11"/>
      <c r="C96" s="64"/>
      <c r="D96" s="64"/>
      <c r="E96" s="64"/>
      <c r="F96" s="78"/>
      <c r="G96" s="78"/>
      <c r="H96" s="64"/>
      <c r="I96" s="64"/>
      <c r="J96" s="11"/>
    </row>
    <row r="97" spans="1:10" ht="12.75" hidden="1">
      <c r="A97" s="347" t="s">
        <v>198</v>
      </c>
      <c r="B97" s="133">
        <v>0</v>
      </c>
      <c r="C97" s="136" t="s">
        <v>199</v>
      </c>
      <c r="D97" s="64"/>
      <c r="E97" s="64"/>
      <c r="F97" s="78"/>
      <c r="G97" s="78"/>
      <c r="H97" s="64"/>
      <c r="I97" s="64"/>
      <c r="J97" s="11"/>
    </row>
    <row r="98" spans="1:10" ht="12.75" hidden="1">
      <c r="A98" s="347" t="s">
        <v>200</v>
      </c>
      <c r="B98" s="133">
        <v>0</v>
      </c>
      <c r="C98" s="64" t="s">
        <v>201</v>
      </c>
      <c r="D98" s="64"/>
      <c r="E98" s="64"/>
      <c r="F98" s="78"/>
      <c r="G98" s="78"/>
      <c r="H98" s="64"/>
      <c r="I98" s="64"/>
      <c r="J98" s="11"/>
    </row>
    <row r="99" spans="1:10" ht="12.75" hidden="1">
      <c r="A99" s="347" t="s">
        <v>202</v>
      </c>
      <c r="B99" s="133">
        <v>0</v>
      </c>
      <c r="C99" s="64"/>
      <c r="D99" s="64"/>
      <c r="E99" s="64"/>
      <c r="F99" s="78"/>
      <c r="G99" s="78"/>
      <c r="H99" s="64"/>
      <c r="I99" s="64"/>
      <c r="J99" s="11"/>
    </row>
    <row r="100" spans="1:10" ht="12.75" hidden="1">
      <c r="A100" s="347" t="s">
        <v>203</v>
      </c>
      <c r="B100" s="133">
        <v>0</v>
      </c>
      <c r="C100" s="136" t="s">
        <v>204</v>
      </c>
      <c r="D100" s="64"/>
      <c r="E100" s="64"/>
      <c r="F100" s="78"/>
      <c r="G100" s="78"/>
      <c r="H100" s="64"/>
      <c r="I100" s="64"/>
      <c r="J100" s="11"/>
    </row>
    <row r="101" spans="1:10" ht="12.75" hidden="1">
      <c r="A101" s="347" t="s">
        <v>205</v>
      </c>
      <c r="B101" s="133">
        <v>0</v>
      </c>
      <c r="C101" s="64"/>
      <c r="D101" s="64"/>
      <c r="E101" s="64"/>
      <c r="F101" s="78"/>
      <c r="G101" s="78"/>
      <c r="H101" s="64"/>
      <c r="I101" s="64"/>
      <c r="J101" s="11"/>
    </row>
    <row r="102" spans="1:10" ht="12.75" hidden="1">
      <c r="A102" s="11"/>
      <c r="C102" s="64"/>
      <c r="D102" s="64"/>
      <c r="E102" s="64"/>
      <c r="F102" s="78"/>
      <c r="G102" s="78"/>
      <c r="H102" s="64"/>
      <c r="I102" s="64"/>
      <c r="J102" s="11"/>
    </row>
    <row r="103" spans="1:10" ht="12.75" hidden="1">
      <c r="A103" s="140"/>
      <c r="B103" s="548" t="s">
        <v>231</v>
      </c>
      <c r="C103" s="32"/>
      <c r="D103" s="32"/>
      <c r="E103" s="64"/>
      <c r="F103" s="128">
        <f>C103-D103</f>
        <v>0</v>
      </c>
      <c r="G103" s="78"/>
      <c r="H103" s="242"/>
      <c r="I103" s="64"/>
      <c r="J103" s="11"/>
    </row>
    <row r="104" spans="1:10" ht="12.75" hidden="1">
      <c r="A104" s="140"/>
      <c r="B104" s="548" t="s">
        <v>232</v>
      </c>
      <c r="C104" s="32">
        <f>C24+C29+C34</f>
        <v>20602.309987605</v>
      </c>
      <c r="D104" s="32">
        <v>20602.309987605004</v>
      </c>
      <c r="E104" s="64"/>
      <c r="F104" s="128">
        <f>C104-D104</f>
        <v>0</v>
      </c>
      <c r="G104" s="78"/>
      <c r="H104" s="242"/>
      <c r="I104" s="64"/>
      <c r="J104" s="11"/>
    </row>
    <row r="105" spans="1:10" ht="12.75" hidden="1">
      <c r="A105" s="140"/>
      <c r="B105" s="548"/>
      <c r="C105" s="32"/>
      <c r="D105" s="32"/>
      <c r="E105" s="64"/>
      <c r="F105" s="128"/>
      <c r="G105" s="78"/>
      <c r="H105" s="242"/>
      <c r="I105" s="64"/>
      <c r="J105" s="11"/>
    </row>
    <row r="106" spans="1:10" ht="12.75" hidden="1">
      <c r="A106" s="140"/>
      <c r="B106" s="347" t="s">
        <v>293</v>
      </c>
      <c r="C106" s="32">
        <f>C69+C80</f>
        <v>0</v>
      </c>
      <c r="D106" s="32">
        <v>0</v>
      </c>
      <c r="E106" s="64"/>
      <c r="F106" s="128">
        <f>C106-D106</f>
        <v>0</v>
      </c>
      <c r="G106" s="78"/>
      <c r="H106" s="242"/>
      <c r="I106" s="64"/>
      <c r="J106" s="11"/>
    </row>
    <row r="107" spans="1:10" ht="12.75" hidden="1">
      <c r="A107" s="140"/>
      <c r="B107" s="347" t="s">
        <v>294</v>
      </c>
      <c r="C107" s="32">
        <f>C70+C81</f>
        <v>1011.5127192874149</v>
      </c>
      <c r="D107" s="32">
        <v>1011.5127192874149</v>
      </c>
      <c r="E107" s="64"/>
      <c r="F107" s="128">
        <f>C107-D107</f>
        <v>0</v>
      </c>
      <c r="G107" s="78"/>
      <c r="H107" s="242"/>
      <c r="I107" s="64"/>
      <c r="J107" s="11"/>
    </row>
    <row r="108" spans="1:10" ht="12.75" hidden="1">
      <c r="A108" s="140"/>
      <c r="B108" s="347" t="s">
        <v>295</v>
      </c>
      <c r="C108" s="32">
        <f>C74+C85</f>
        <v>0</v>
      </c>
      <c r="D108" s="32">
        <v>0</v>
      </c>
      <c r="E108" s="64"/>
      <c r="F108" s="128">
        <f>C108-D108</f>
        <v>0</v>
      </c>
      <c r="G108" s="78"/>
      <c r="H108" s="242"/>
      <c r="I108" s="64"/>
      <c r="J108" s="11"/>
    </row>
    <row r="109" spans="1:10" ht="12.75" hidden="1">
      <c r="A109" s="140"/>
      <c r="B109" s="347" t="s">
        <v>296</v>
      </c>
      <c r="C109" s="32">
        <f>C75+C86</f>
        <v>14096.799864170654</v>
      </c>
      <c r="D109" s="32">
        <v>14096.799864170654</v>
      </c>
      <c r="E109" s="64"/>
      <c r="F109" s="128">
        <f>C109-D109</f>
        <v>0</v>
      </c>
      <c r="G109" s="78"/>
      <c r="H109" s="242"/>
      <c r="I109" s="64"/>
      <c r="J109" s="11"/>
    </row>
    <row r="110" spans="1:10" ht="12.75" hidden="1">
      <c r="A110" s="140"/>
      <c r="B110" s="347"/>
      <c r="C110" s="32"/>
      <c r="D110" s="32"/>
      <c r="E110" s="348"/>
      <c r="F110" s="349"/>
      <c r="G110" s="78"/>
      <c r="H110" s="242"/>
      <c r="I110" s="64"/>
      <c r="J110" s="11"/>
    </row>
    <row r="111" spans="1:10" ht="12.75" hidden="1">
      <c r="A111" s="145" t="s">
        <v>297</v>
      </c>
      <c r="B111" s="133">
        <v>0</v>
      </c>
      <c r="C111" s="32"/>
      <c r="D111" s="32"/>
      <c r="E111" s="64"/>
      <c r="F111" s="349"/>
      <c r="G111" s="78"/>
      <c r="H111" s="242"/>
      <c r="I111" s="64"/>
      <c r="J111" s="11"/>
    </row>
    <row r="112" spans="1:10" ht="12.75" hidden="1">
      <c r="A112" s="145" t="s">
        <v>298</v>
      </c>
      <c r="B112" s="133">
        <v>0</v>
      </c>
      <c r="C112" s="32"/>
      <c r="D112" s="32"/>
      <c r="E112" s="64"/>
      <c r="F112" s="349"/>
      <c r="G112" s="78"/>
      <c r="H112" s="242"/>
      <c r="I112" s="64"/>
      <c r="J112" s="11"/>
    </row>
    <row r="113" spans="1:10" ht="12.75" hidden="1">
      <c r="A113" s="145" t="s">
        <v>299</v>
      </c>
      <c r="B113" s="133">
        <v>0</v>
      </c>
      <c r="C113" s="32"/>
      <c r="D113" s="32"/>
      <c r="E113" s="64"/>
      <c r="F113" s="349"/>
      <c r="G113" s="78"/>
      <c r="H113" s="242"/>
      <c r="I113" s="64"/>
      <c r="J113" s="11"/>
    </row>
    <row r="114" spans="1:10" ht="12.75" hidden="1">
      <c r="A114" s="145" t="s">
        <v>300</v>
      </c>
      <c r="B114" s="133">
        <v>0</v>
      </c>
      <c r="C114" s="32"/>
      <c r="D114" s="32"/>
      <c r="E114" s="64"/>
      <c r="F114" s="349"/>
      <c r="G114" s="78"/>
      <c r="H114" s="242"/>
      <c r="I114" s="64"/>
      <c r="J114" s="11"/>
    </row>
    <row r="115" spans="1:10" ht="12.75">
      <c r="A115" s="141"/>
      <c r="B115" s="283"/>
      <c r="C115" s="293"/>
      <c r="D115" s="293"/>
      <c r="E115" s="293"/>
      <c r="F115" s="78"/>
      <c r="G115" s="78"/>
      <c r="H115" s="64"/>
      <c r="I115" s="64"/>
      <c r="J115" s="11"/>
    </row>
    <row r="116" spans="1:10" ht="12.75">
      <c r="A116" s="11" t="s">
        <v>235</v>
      </c>
      <c r="C116" s="64"/>
      <c r="D116" s="64"/>
      <c r="E116" s="64"/>
      <c r="F116" s="78"/>
      <c r="G116" s="78"/>
      <c r="H116" s="64"/>
      <c r="I116" s="64"/>
      <c r="J116" s="11"/>
    </row>
    <row r="117" spans="1:10" ht="12.75">
      <c r="A117" s="25" t="s">
        <v>802</v>
      </c>
      <c r="C117" s="64"/>
      <c r="D117" s="64"/>
      <c r="E117" s="64"/>
      <c r="F117" s="78"/>
      <c r="G117" s="78"/>
      <c r="H117" s="64"/>
      <c r="I117" s="64"/>
      <c r="J117" s="11"/>
    </row>
    <row r="118" spans="1:10" ht="12.75">
      <c r="A118" s="25" t="s">
        <v>795</v>
      </c>
      <c r="C118" s="64"/>
      <c r="D118" s="64"/>
      <c r="E118" s="64"/>
      <c r="F118" s="78"/>
      <c r="G118" s="78"/>
      <c r="H118" s="64"/>
      <c r="I118" s="64"/>
      <c r="J118" s="11"/>
    </row>
    <row r="119" spans="1:10" ht="12.75">
      <c r="A119" s="11"/>
      <c r="C119" s="64"/>
      <c r="D119" s="64"/>
      <c r="E119" s="64"/>
      <c r="F119" s="78"/>
      <c r="G119" s="78"/>
      <c r="H119" s="64"/>
      <c r="I119" s="64"/>
      <c r="J119" s="11"/>
    </row>
    <row r="120" spans="1:10" ht="12.75">
      <c r="A120" s="11"/>
      <c r="C120" s="64"/>
      <c r="D120" s="64"/>
      <c r="E120" s="64"/>
      <c r="F120" s="78"/>
      <c r="G120" s="78"/>
      <c r="H120" s="64"/>
      <c r="I120" s="64"/>
      <c r="J120" s="11"/>
    </row>
    <row r="121" spans="1:10" ht="12.75">
      <c r="A121" s="11"/>
      <c r="C121" s="64"/>
      <c r="D121" s="64"/>
      <c r="E121" s="64"/>
      <c r="F121" s="78"/>
      <c r="G121" s="78"/>
      <c r="H121" s="64"/>
      <c r="I121" s="64"/>
      <c r="J121" s="11"/>
    </row>
    <row r="122" spans="1:10" ht="12.75">
      <c r="A122" s="11"/>
      <c r="C122" s="64"/>
      <c r="D122" s="64"/>
      <c r="E122" s="64"/>
      <c r="F122" s="78"/>
      <c r="G122" s="78"/>
      <c r="H122" s="64"/>
      <c r="I122" s="64"/>
      <c r="J122" s="11"/>
    </row>
    <row r="123" spans="1:10" ht="12.75">
      <c r="A123" s="11"/>
      <c r="C123" s="64"/>
      <c r="D123" s="64"/>
      <c r="E123" s="64"/>
      <c r="F123" s="78"/>
      <c r="G123" s="78"/>
      <c r="H123" s="64"/>
      <c r="I123" s="64"/>
      <c r="J123" s="11"/>
    </row>
    <row r="124" spans="1:10" ht="12.75">
      <c r="A124" s="11"/>
      <c r="C124" s="64"/>
      <c r="D124" s="64"/>
      <c r="E124" s="64"/>
      <c r="F124" s="78"/>
      <c r="G124" s="78"/>
      <c r="H124" s="64"/>
      <c r="I124" s="64"/>
      <c r="J124" s="11"/>
    </row>
    <row r="125" spans="1:10" ht="12.75">
      <c r="A125" s="11"/>
      <c r="C125" s="64"/>
      <c r="D125" s="64"/>
      <c r="E125" s="64"/>
      <c r="F125" s="78"/>
      <c r="G125" s="78"/>
      <c r="H125" s="64"/>
      <c r="I125" s="64"/>
      <c r="J125" s="11"/>
    </row>
  </sheetData>
  <sheetProtection/>
  <printOptions horizontalCentered="1"/>
  <pageMargins left="0.75" right="0.75" top="1" bottom="1" header="0.5" footer="0.5"/>
  <pageSetup fitToHeight="3" horizontalDpi="600" verticalDpi="600" orientation="landscape" r:id="rId1"/>
  <headerFooter alignWithMargins="0">
    <oddFooter>&amp;L&amp;F</oddFooter>
  </headerFooter>
  <rowBreaks count="2" manualBreakCount="2">
    <brk id="36" max="255" man="1"/>
    <brk id="62" max="255" man="1"/>
  </rowBreaks>
</worksheet>
</file>

<file path=xl/worksheets/sheet22.xml><?xml version="1.0" encoding="utf-8"?>
<worksheet xmlns="http://schemas.openxmlformats.org/spreadsheetml/2006/main" xmlns:r="http://schemas.openxmlformats.org/officeDocument/2006/relationships">
  <dimension ref="A1:P125"/>
  <sheetViews>
    <sheetView zoomScale="70" zoomScaleNormal="70" zoomScalePageLayoutView="0" workbookViewId="0" topLeftCell="A1">
      <selection activeCell="A1" sqref="A1"/>
    </sheetView>
  </sheetViews>
  <sheetFormatPr defaultColWidth="9.140625" defaultRowHeight="12.75"/>
  <cols>
    <col min="1" max="1" width="29.421875" style="0" customWidth="1"/>
    <col min="2" max="4" width="11.7109375" style="0" customWidth="1"/>
    <col min="5" max="5" width="2.7109375" style="0" customWidth="1"/>
    <col min="6" max="6" width="11.7109375" style="0" customWidth="1"/>
    <col min="7" max="7" width="2.7109375" style="0" customWidth="1"/>
    <col min="8" max="9" width="11.7109375" style="0" customWidth="1"/>
    <col min="11" max="11" width="9.28125" style="0" bestFit="1" customWidth="1"/>
  </cols>
  <sheetData>
    <row r="1" ht="15.75" customHeight="1">
      <c r="A1" s="158" t="s">
        <v>561</v>
      </c>
    </row>
    <row r="2" ht="15.75" customHeight="1">
      <c r="A2" s="158" t="s">
        <v>787</v>
      </c>
    </row>
    <row r="3" spans="2:10" ht="25.5">
      <c r="B3" s="168" t="s">
        <v>250</v>
      </c>
      <c r="C3" s="189" t="s">
        <v>249</v>
      </c>
      <c r="D3" s="8" t="s">
        <v>104</v>
      </c>
      <c r="E3" s="8"/>
      <c r="F3" s="199" t="s">
        <v>246</v>
      </c>
      <c r="G3" s="87"/>
      <c r="H3" s="160" t="s">
        <v>218</v>
      </c>
      <c r="I3" s="41" t="s">
        <v>133</v>
      </c>
      <c r="J3" s="11"/>
    </row>
    <row r="4" spans="1:10" ht="12.75">
      <c r="A4" s="15" t="s">
        <v>291</v>
      </c>
      <c r="B4" s="168"/>
      <c r="C4" s="189"/>
      <c r="D4" s="8"/>
      <c r="E4" s="8"/>
      <c r="F4" s="199"/>
      <c r="G4" s="87"/>
      <c r="H4" s="160"/>
      <c r="I4" s="41"/>
      <c r="J4" s="11"/>
    </row>
    <row r="5" spans="1:10" ht="12.75" customHeight="1">
      <c r="A5" s="89" t="s">
        <v>174</v>
      </c>
      <c r="B5" s="168"/>
      <c r="C5" s="189"/>
      <c r="D5" s="8"/>
      <c r="E5" s="8"/>
      <c r="F5" s="87"/>
      <c r="G5" s="87"/>
      <c r="H5" s="160"/>
      <c r="I5" s="41"/>
      <c r="J5" s="11"/>
    </row>
    <row r="6" spans="1:10" ht="12.75">
      <c r="A6" s="81" t="s">
        <v>278</v>
      </c>
      <c r="C6" s="52"/>
      <c r="D6" s="3"/>
      <c r="E6" s="3"/>
      <c r="F6" s="74"/>
      <c r="G6" s="74"/>
      <c r="H6" s="3"/>
      <c r="I6" s="3"/>
      <c r="J6" s="11"/>
    </row>
    <row r="7" spans="1:16" ht="12.75">
      <c r="A7" s="344" t="s">
        <v>130</v>
      </c>
      <c r="B7" s="105">
        <v>0</v>
      </c>
      <c r="C7" s="196">
        <v>0</v>
      </c>
      <c r="D7" s="83" t="str">
        <f>IF(ISERROR(C7/B7),"n/a",C7/B7)</f>
        <v>n/a</v>
      </c>
      <c r="E7" s="41"/>
      <c r="F7" s="54">
        <v>1.5595101237373266</v>
      </c>
      <c r="G7" s="75"/>
      <c r="H7" s="42">
        <f>C7*F7</f>
        <v>0</v>
      </c>
      <c r="I7" s="83" t="str">
        <f>IF(ISERROR(H7/B7),"n/a",H7/B7)</f>
        <v>n/a</v>
      </c>
      <c r="J7" s="11"/>
      <c r="K7" s="345"/>
      <c r="L7" s="27"/>
      <c r="M7" s="27"/>
      <c r="N7" s="27"/>
      <c r="O7" s="27"/>
      <c r="P7" s="27"/>
    </row>
    <row r="8" spans="1:16" ht="12.75">
      <c r="A8" s="343" t="s">
        <v>292</v>
      </c>
      <c r="B8" s="105">
        <v>39783.04454420751</v>
      </c>
      <c r="C8" s="196">
        <v>6034.1757787236575</v>
      </c>
      <c r="D8" s="83">
        <f>IF(ISERROR(C8/B8),"n/a",C8/B8)</f>
        <v>0.1516770736844535</v>
      </c>
      <c r="E8" s="41"/>
      <c r="F8" s="54">
        <v>1.5595101237373266</v>
      </c>
      <c r="G8" s="75"/>
      <c r="H8" s="42">
        <f>C8*F8</f>
        <v>9410.35821533011</v>
      </c>
      <c r="I8" s="83">
        <f>IF(ISERROR(H8/B8),"n/a",H8/B8)</f>
        <v>0.23654193194975767</v>
      </c>
      <c r="J8" s="11"/>
      <c r="K8" s="27"/>
      <c r="L8" s="27"/>
      <c r="M8" s="27"/>
      <c r="N8" s="27"/>
      <c r="O8" s="27"/>
      <c r="P8" s="27"/>
    </row>
    <row r="9" spans="1:16" ht="12.75">
      <c r="A9" s="344" t="s">
        <v>102</v>
      </c>
      <c r="B9" s="105">
        <f>SUM(B7:B8)</f>
        <v>39783.04454420751</v>
      </c>
      <c r="C9" s="175">
        <f>SUM(C7:C8)</f>
        <v>6034.1757787236575</v>
      </c>
      <c r="D9" s="83">
        <f>IF(ISERROR(C9/B9),"n/a",C9/B9)</f>
        <v>0.1516770736844535</v>
      </c>
      <c r="E9" s="41"/>
      <c r="F9" s="54"/>
      <c r="G9" s="48"/>
      <c r="H9" s="42">
        <f>SUM(H7:H8)</f>
        <v>9410.35821533011</v>
      </c>
      <c r="I9" s="83">
        <f>H9/B9</f>
        <v>0.23654193194975767</v>
      </c>
      <c r="J9" s="11"/>
      <c r="K9" s="27"/>
      <c r="L9" s="27"/>
      <c r="M9" s="27"/>
      <c r="N9" s="27"/>
      <c r="O9" s="27"/>
      <c r="P9" s="27"/>
    </row>
    <row r="10" spans="1:10" ht="4.5" customHeight="1">
      <c r="A10" s="82"/>
      <c r="B10" s="105"/>
      <c r="C10" s="175"/>
      <c r="D10" s="83"/>
      <c r="E10" s="41"/>
      <c r="F10" s="54"/>
      <c r="G10" s="48"/>
      <c r="H10" s="42"/>
      <c r="I10" s="83"/>
      <c r="J10" s="11"/>
    </row>
    <row r="11" spans="1:10" ht="12.75">
      <c r="A11" s="81" t="s">
        <v>274</v>
      </c>
      <c r="B11" s="14"/>
      <c r="C11" s="196"/>
      <c r="D11" s="83"/>
      <c r="E11" s="41"/>
      <c r="F11" s="75"/>
      <c r="G11" s="75"/>
      <c r="H11" s="42"/>
      <c r="I11" s="83"/>
      <c r="J11" s="11"/>
    </row>
    <row r="12" spans="1:10" ht="12.75">
      <c r="A12" s="344" t="s">
        <v>130</v>
      </c>
      <c r="B12" s="105">
        <v>0</v>
      </c>
      <c r="C12" s="196">
        <v>0</v>
      </c>
      <c r="D12" s="83" t="str">
        <f>IF(ISERROR(C12/B12),"n/a",C12/B12)</f>
        <v>n/a</v>
      </c>
      <c r="E12" s="41"/>
      <c r="F12" s="54">
        <v>1.5595101237373266</v>
      </c>
      <c r="G12" s="48"/>
      <c r="H12" s="42">
        <f>C12*F12</f>
        <v>0</v>
      </c>
      <c r="I12" s="83" t="str">
        <f>IF(ISERROR(H12/B12),"n/a",H12/B12)</f>
        <v>n/a</v>
      </c>
      <c r="J12" s="11"/>
    </row>
    <row r="13" spans="1:10" ht="12.75">
      <c r="A13" s="343" t="s">
        <v>292</v>
      </c>
      <c r="B13" s="105">
        <v>12170.638739735548</v>
      </c>
      <c r="C13" s="196">
        <v>1846.0068689137327</v>
      </c>
      <c r="D13" s="83">
        <f>IF(ISERROR(C13/B13),"n/a",C13/B13)</f>
        <v>0.15167707368445346</v>
      </c>
      <c r="E13" s="41"/>
      <c r="F13" s="54">
        <v>1.5595101237373266</v>
      </c>
      <c r="G13" s="48"/>
      <c r="H13" s="42">
        <f>C13*F13</f>
        <v>2878.86640055961</v>
      </c>
      <c r="I13" s="83">
        <f>IF(ISERROR(H13/B13),"n/a",H13/B13)</f>
        <v>0.23654193194975764</v>
      </c>
      <c r="J13" s="11"/>
    </row>
    <row r="14" spans="1:10" ht="12.75">
      <c r="A14" s="344" t="s">
        <v>102</v>
      </c>
      <c r="B14" s="105">
        <f>SUM(B12:B13)</f>
        <v>12170.638739735548</v>
      </c>
      <c r="C14" s="175">
        <f>SUM(C12:C13)</f>
        <v>1846.0068689137327</v>
      </c>
      <c r="D14" s="83">
        <f>IF(ISERROR(C14/B14),"n/a",C14/B14)</f>
        <v>0.15167707368445346</v>
      </c>
      <c r="E14" s="41"/>
      <c r="F14" s="54"/>
      <c r="G14" s="48"/>
      <c r="H14" s="42">
        <f>SUM(H12:H13)</f>
        <v>2878.86640055961</v>
      </c>
      <c r="I14" s="83">
        <f>H14/B14</f>
        <v>0.23654193194975764</v>
      </c>
      <c r="J14" s="11"/>
    </row>
    <row r="15" spans="1:10" ht="4.5" customHeight="1">
      <c r="A15" s="82"/>
      <c r="B15" s="105"/>
      <c r="C15" s="175"/>
      <c r="D15" s="83"/>
      <c r="E15" s="41"/>
      <c r="F15" s="54"/>
      <c r="G15" s="48"/>
      <c r="H15" s="42"/>
      <c r="I15" s="83"/>
      <c r="J15" s="11"/>
    </row>
    <row r="16" spans="1:10" ht="12.75">
      <c r="A16" s="81" t="s">
        <v>279</v>
      </c>
      <c r="B16" s="105"/>
      <c r="C16" s="196"/>
      <c r="D16" s="92"/>
      <c r="E16" s="92"/>
      <c r="F16" s="54"/>
      <c r="G16" s="54"/>
      <c r="H16" s="46"/>
      <c r="I16" s="85"/>
      <c r="J16" s="11"/>
    </row>
    <row r="17" spans="1:10" ht="12.75">
      <c r="A17" s="344" t="s">
        <v>130</v>
      </c>
      <c r="B17" s="105">
        <v>0</v>
      </c>
      <c r="C17" s="196">
        <v>0</v>
      </c>
      <c r="D17" s="83" t="str">
        <f>IF(ISERROR(C17/B17),"n/a",C17/B17)</f>
        <v>n/a</v>
      </c>
      <c r="E17" s="41"/>
      <c r="F17" s="54">
        <v>1.5595101237373266</v>
      </c>
      <c r="G17" s="54"/>
      <c r="H17" s="42">
        <f>C17*F17</f>
        <v>0</v>
      </c>
      <c r="I17" s="83" t="str">
        <f>IF(ISERROR(H17/B17),"n/a",H17/B17)</f>
        <v>n/a</v>
      </c>
      <c r="J17" s="11"/>
    </row>
    <row r="18" spans="1:10" ht="12.75">
      <c r="A18" s="343" t="s">
        <v>292</v>
      </c>
      <c r="B18" s="105">
        <v>1834.3053728621517</v>
      </c>
      <c r="C18" s="196">
        <v>278.22207119940146</v>
      </c>
      <c r="D18" s="83">
        <f>IF(ISERROR(C18/B18),"n/a",C18/B18)</f>
        <v>0.15167707368445346</v>
      </c>
      <c r="E18" s="41"/>
      <c r="F18" s="54">
        <v>1.5595101237373266</v>
      </c>
      <c r="G18" s="54"/>
      <c r="H18" s="42">
        <f>C18*F18</f>
        <v>433.89013668263385</v>
      </c>
      <c r="I18" s="83">
        <f>IF(ISERROR(H18/B18),"n/a",H18/B18)</f>
        <v>0.23654193194975762</v>
      </c>
      <c r="J18" s="11"/>
    </row>
    <row r="19" spans="1:10" ht="12.75">
      <c r="A19" s="344" t="s">
        <v>102</v>
      </c>
      <c r="B19" s="105">
        <f>SUM(B17:B18)</f>
        <v>1834.3053728621517</v>
      </c>
      <c r="C19" s="175">
        <f>SUM(C17:C18)</f>
        <v>278.22207119940146</v>
      </c>
      <c r="D19" s="83">
        <f>IF(ISERROR(C19/B19),"n/a",C19/B19)</f>
        <v>0.15167707368445346</v>
      </c>
      <c r="E19" s="41"/>
      <c r="F19" s="54"/>
      <c r="G19" s="48"/>
      <c r="H19" s="42">
        <f>SUM(H17:H18)</f>
        <v>433.89013668263385</v>
      </c>
      <c r="I19" s="83">
        <f>H19/B19</f>
        <v>0.23654193194975762</v>
      </c>
      <c r="J19" s="11"/>
    </row>
    <row r="20" spans="1:10" ht="12.75">
      <c r="A20" s="11"/>
      <c r="B20" s="105"/>
      <c r="C20" s="175"/>
      <c r="D20" s="83"/>
      <c r="E20" s="41"/>
      <c r="F20" s="54"/>
      <c r="G20" s="48"/>
      <c r="H20" s="42"/>
      <c r="I20" s="83"/>
      <c r="J20" s="11"/>
    </row>
    <row r="21" spans="1:10" ht="12.75">
      <c r="A21" s="89" t="s">
        <v>175</v>
      </c>
      <c r="B21" s="14"/>
      <c r="C21" s="196"/>
      <c r="D21" s="85"/>
      <c r="E21" s="45"/>
      <c r="F21" s="76"/>
      <c r="G21" s="76"/>
      <c r="H21" s="46"/>
      <c r="I21" s="85"/>
      <c r="J21" s="11"/>
    </row>
    <row r="22" spans="1:10" ht="12.75">
      <c r="A22" s="81" t="s">
        <v>278</v>
      </c>
      <c r="B22" s="48"/>
      <c r="C22" s="196"/>
      <c r="D22" s="92"/>
      <c r="E22" s="48"/>
      <c r="F22" s="48"/>
      <c r="G22" s="48"/>
      <c r="H22" s="196"/>
      <c r="I22" s="92"/>
      <c r="J22" s="11"/>
    </row>
    <row r="23" spans="1:10" ht="12.75">
      <c r="A23" s="344" t="s">
        <v>130</v>
      </c>
      <c r="B23" s="105">
        <v>0</v>
      </c>
      <c r="C23" s="196">
        <f>D23*B23</f>
        <v>0</v>
      </c>
      <c r="D23" s="83">
        <v>0</v>
      </c>
      <c r="E23" s="41"/>
      <c r="F23" s="54">
        <v>1.5595101237373266</v>
      </c>
      <c r="G23" s="48"/>
      <c r="H23" s="42">
        <f>C23*F23</f>
        <v>0</v>
      </c>
      <c r="I23" s="83" t="str">
        <f>IF(ISERROR(H23/B23),"n/a",H23/B23)</f>
        <v>n/a</v>
      </c>
      <c r="J23" s="11"/>
    </row>
    <row r="24" spans="1:10" ht="12.75">
      <c r="A24" s="343" t="s">
        <v>292</v>
      </c>
      <c r="B24" s="105">
        <v>1830.0460524825014</v>
      </c>
      <c r="C24" s="196">
        <f>D24*B24</f>
        <v>510.43813837910034</v>
      </c>
      <c r="D24" s="83">
        <v>0.27892092534320584</v>
      </c>
      <c r="E24" s="41"/>
      <c r="F24" s="54">
        <v>1.5595101237373266</v>
      </c>
      <c r="G24" s="48"/>
      <c r="H24" s="42">
        <f>C24*F24</f>
        <v>796.0334443438414</v>
      </c>
      <c r="I24" s="83">
        <f>IF(ISERROR(H24/B24),"n/a",H24/B24)</f>
        <v>0.4349800067949126</v>
      </c>
      <c r="J24" s="11"/>
    </row>
    <row r="25" spans="1:10" ht="12.75">
      <c r="A25" s="344" t="s">
        <v>102</v>
      </c>
      <c r="B25" s="105">
        <f>SUM(B23:B24)</f>
        <v>1830.0460524825014</v>
      </c>
      <c r="C25" s="175">
        <f>SUM(C23:C24)</f>
        <v>510.43813837910034</v>
      </c>
      <c r="D25" s="83">
        <f>IF(ISERROR(C25/B25),"n/a",C25/B25)</f>
        <v>0.27892092534320584</v>
      </c>
      <c r="E25" s="41"/>
      <c r="F25" s="54"/>
      <c r="G25" s="48"/>
      <c r="H25" s="42">
        <f>SUM(H23:H24)</f>
        <v>796.0334443438414</v>
      </c>
      <c r="I25" s="83">
        <f>H25/B25</f>
        <v>0.4349800067949126</v>
      </c>
      <c r="J25" s="11"/>
    </row>
    <row r="26" spans="1:10" ht="4.5" customHeight="1">
      <c r="A26" s="82"/>
      <c r="B26" s="14"/>
      <c r="C26" s="196"/>
      <c r="D26" s="92"/>
      <c r="E26" s="202"/>
      <c r="F26" s="203"/>
      <c r="G26" s="203"/>
      <c r="H26" s="196"/>
      <c r="I26" s="92"/>
      <c r="J26" s="11"/>
    </row>
    <row r="27" spans="1:10" ht="12.75">
      <c r="A27" s="81" t="s">
        <v>274</v>
      </c>
      <c r="B27" s="48"/>
      <c r="C27" s="196"/>
      <c r="D27" s="92"/>
      <c r="E27" s="48"/>
      <c r="F27" s="48"/>
      <c r="G27" s="48"/>
      <c r="H27" s="196"/>
      <c r="I27" s="92"/>
      <c r="J27" s="11"/>
    </row>
    <row r="28" spans="1:10" ht="12.75">
      <c r="A28" s="344" t="s">
        <v>130</v>
      </c>
      <c r="B28" s="105">
        <v>0</v>
      </c>
      <c r="C28" s="196">
        <f>D28*B28</f>
        <v>0</v>
      </c>
      <c r="D28" s="83">
        <v>0</v>
      </c>
      <c r="E28" s="41"/>
      <c r="F28" s="54">
        <v>1.5595101237373266</v>
      </c>
      <c r="G28" s="76"/>
      <c r="H28" s="42">
        <f>C28*F28</f>
        <v>0</v>
      </c>
      <c r="I28" s="83" t="str">
        <f>IF(ISERROR(H28/B28),"n/a",H28/B28)</f>
        <v>n/a</v>
      </c>
      <c r="J28" s="11"/>
    </row>
    <row r="29" spans="1:10" ht="12.75">
      <c r="A29" s="343" t="s">
        <v>292</v>
      </c>
      <c r="B29" s="105">
        <v>70.4748147430199</v>
      </c>
      <c r="C29" s="196">
        <f>D29*B29</f>
        <v>19.656900541514123</v>
      </c>
      <c r="D29" s="83">
        <v>0.2789209253432059</v>
      </c>
      <c r="E29" s="41"/>
      <c r="F29" s="54">
        <v>1.5595101237373266</v>
      </c>
      <c r="G29" s="76"/>
      <c r="H29" s="42">
        <f>C29*F29</f>
        <v>30.65513539578901</v>
      </c>
      <c r="I29" s="83">
        <f>IF(ISERROR(H29/B29),"n/a",H29/B29)</f>
        <v>0.43498000679491267</v>
      </c>
      <c r="J29" s="11"/>
    </row>
    <row r="30" spans="1:10" ht="12.75">
      <c r="A30" s="344" t="s">
        <v>102</v>
      </c>
      <c r="B30" s="105">
        <f>SUM(B28:B29)</f>
        <v>70.4748147430199</v>
      </c>
      <c r="C30" s="175">
        <f>SUM(C28:C29)</f>
        <v>19.656900541514123</v>
      </c>
      <c r="D30" s="83">
        <f>IF(ISERROR(C30/B30),"n/a",C30/B30)</f>
        <v>0.2789209253432059</v>
      </c>
      <c r="E30" s="41"/>
      <c r="F30" s="54"/>
      <c r="G30" s="48"/>
      <c r="H30" s="42">
        <f>SUM(H28:H29)</f>
        <v>30.65513539578901</v>
      </c>
      <c r="I30" s="83">
        <f>IF(ISERROR(H30/B30),"n/a",H30/B30)</f>
        <v>0.43498000679491267</v>
      </c>
      <c r="J30" s="11"/>
    </row>
    <row r="31" spans="1:10" ht="4.5" customHeight="1">
      <c r="A31" s="82"/>
      <c r="B31" s="14"/>
      <c r="C31" s="196"/>
      <c r="D31" s="85"/>
      <c r="E31" s="45"/>
      <c r="F31" s="76"/>
      <c r="G31" s="76"/>
      <c r="H31" s="46"/>
      <c r="I31" s="85"/>
      <c r="J31" s="11"/>
    </row>
    <row r="32" spans="1:10" ht="12.75">
      <c r="A32" s="81" t="s">
        <v>279</v>
      </c>
      <c r="B32" s="14"/>
      <c r="C32" s="196"/>
      <c r="D32" s="92"/>
      <c r="E32" s="202"/>
      <c r="F32" s="203"/>
      <c r="G32" s="203"/>
      <c r="H32" s="196"/>
      <c r="I32" s="92"/>
      <c r="J32" s="11"/>
    </row>
    <row r="33" spans="1:10" ht="12.75">
      <c r="A33" s="344" t="s">
        <v>130</v>
      </c>
      <c r="B33" s="105">
        <v>0</v>
      </c>
      <c r="C33" s="196">
        <f>D33*B33</f>
        <v>0</v>
      </c>
      <c r="D33" s="83">
        <v>0</v>
      </c>
      <c r="E33" s="41"/>
      <c r="F33" s="54">
        <v>1.5595101237373266</v>
      </c>
      <c r="G33" s="203"/>
      <c r="H33" s="42">
        <f>C33*F33</f>
        <v>0</v>
      </c>
      <c r="I33" s="83" t="str">
        <f>IF(ISERROR(H33/B33),"n/a",H33/B33)</f>
        <v>n/a</v>
      </c>
      <c r="J33" s="11"/>
    </row>
    <row r="34" spans="1:10" ht="12.75">
      <c r="A34" s="343" t="s">
        <v>292</v>
      </c>
      <c r="B34" s="105">
        <v>1123.0316726679314</v>
      </c>
      <c r="C34" s="196">
        <f>D34*B34</f>
        <v>313.2370333302677</v>
      </c>
      <c r="D34" s="83">
        <v>0.2789209253432059</v>
      </c>
      <c r="E34" s="41"/>
      <c r="F34" s="54">
        <v>1.5595101237373266</v>
      </c>
      <c r="G34" s="203"/>
      <c r="H34" s="42">
        <f>C34*F34</f>
        <v>488.4963246079989</v>
      </c>
      <c r="I34" s="83">
        <f>IF(ISERROR(H34/B34),"n/a",H34/B34)</f>
        <v>0.4349800067949126</v>
      </c>
      <c r="J34" s="11"/>
    </row>
    <row r="35" spans="1:10" ht="12.75">
      <c r="A35" s="344" t="s">
        <v>102</v>
      </c>
      <c r="B35" s="105">
        <f>SUM(B33:B34)</f>
        <v>1123.0316726679314</v>
      </c>
      <c r="C35" s="175">
        <f>SUM(C33:C34)</f>
        <v>313.2370333302677</v>
      </c>
      <c r="D35" s="83">
        <f>IF(ISERROR(C35/B35),"n/a",C35/B35)</f>
        <v>0.2789209253432059</v>
      </c>
      <c r="E35" s="41"/>
      <c r="F35" s="54"/>
      <c r="G35" s="48"/>
      <c r="H35" s="42">
        <f>SUM(H33:H34)</f>
        <v>488.4963246079989</v>
      </c>
      <c r="I35" s="83">
        <f>H35/B35</f>
        <v>0.4349800067949126</v>
      </c>
      <c r="J35" s="11"/>
    </row>
    <row r="36" spans="1:10" ht="12.75">
      <c r="A36" s="82"/>
      <c r="B36" s="105"/>
      <c r="C36" s="196"/>
      <c r="D36" s="83"/>
      <c r="E36" s="41"/>
      <c r="F36" s="54"/>
      <c r="G36" s="203"/>
      <c r="H36" s="42"/>
      <c r="I36" s="83"/>
      <c r="J36" s="11"/>
    </row>
    <row r="37" spans="1:10" ht="15.75">
      <c r="A37" s="158" t="s">
        <v>652</v>
      </c>
      <c r="J37" s="11"/>
    </row>
    <row r="38" spans="1:10" ht="15.75">
      <c r="A38" s="158" t="s">
        <v>787</v>
      </c>
      <c r="J38" s="11"/>
    </row>
    <row r="39" spans="2:10" ht="25.5">
      <c r="B39" s="168" t="s">
        <v>250</v>
      </c>
      <c r="C39" s="189" t="s">
        <v>249</v>
      </c>
      <c r="D39" s="8" t="s">
        <v>104</v>
      </c>
      <c r="E39" s="8"/>
      <c r="F39" s="199" t="s">
        <v>246</v>
      </c>
      <c r="G39" s="87"/>
      <c r="H39" s="160" t="s">
        <v>218</v>
      </c>
      <c r="I39" s="41" t="s">
        <v>133</v>
      </c>
      <c r="J39" s="11"/>
    </row>
    <row r="40" spans="1:10" ht="12.75">
      <c r="A40" s="15" t="s">
        <v>290</v>
      </c>
      <c r="B40" s="14"/>
      <c r="C40" s="196"/>
      <c r="D40" s="92"/>
      <c r="E40" s="202"/>
      <c r="F40" s="203"/>
      <c r="G40" s="203"/>
      <c r="H40" s="196"/>
      <c r="I40" s="92"/>
      <c r="J40" s="11"/>
    </row>
    <row r="41" spans="1:10" ht="12.75">
      <c r="A41" s="89" t="s">
        <v>170</v>
      </c>
      <c r="B41" s="48"/>
      <c r="C41" s="196"/>
      <c r="D41" s="92"/>
      <c r="E41" s="48"/>
      <c r="F41" s="48"/>
      <c r="G41" s="48"/>
      <c r="H41" s="196"/>
      <c r="I41" s="92"/>
      <c r="J41" s="11"/>
    </row>
    <row r="42" spans="1:10" ht="12.75">
      <c r="A42" s="81" t="s">
        <v>289</v>
      </c>
      <c r="B42" s="105"/>
      <c r="C42" s="196"/>
      <c r="D42" s="83"/>
      <c r="E42" s="41"/>
      <c r="F42" s="54"/>
      <c r="G42" s="75"/>
      <c r="H42" s="42"/>
      <c r="I42" s="83"/>
      <c r="J42" s="11"/>
    </row>
    <row r="43" spans="1:10" ht="12.75">
      <c r="A43" s="344" t="s">
        <v>130</v>
      </c>
      <c r="B43" s="105">
        <v>0</v>
      </c>
      <c r="C43" s="196">
        <v>0</v>
      </c>
      <c r="D43" s="83" t="str">
        <f>IF(ISERROR(C43/B43),"n/a",C43/B43)</f>
        <v>n/a</v>
      </c>
      <c r="E43" s="41"/>
      <c r="F43" s="54">
        <v>1.5595101237373266</v>
      </c>
      <c r="G43" s="48"/>
      <c r="H43" s="42">
        <f>C43*F43</f>
        <v>0</v>
      </c>
      <c r="I43" s="83" t="str">
        <f>IF(ISERROR(H43/B43),"n/a",H43/B43)</f>
        <v>n/a</v>
      </c>
      <c r="J43" s="11"/>
    </row>
    <row r="44" spans="1:10" ht="12.75">
      <c r="A44" s="343" t="s">
        <v>292</v>
      </c>
      <c r="B44" s="105">
        <v>0</v>
      </c>
      <c r="C44" s="196">
        <v>0</v>
      </c>
      <c r="D44" s="83" t="str">
        <f>IF(ISERROR(C44/B44),"n/a",C44/B44)</f>
        <v>n/a</v>
      </c>
      <c r="E44" s="41"/>
      <c r="F44" s="54">
        <v>1.5595101237373266</v>
      </c>
      <c r="G44" s="48"/>
      <c r="H44" s="42">
        <f>C44*F44</f>
        <v>0</v>
      </c>
      <c r="I44" s="83" t="str">
        <f>IF(ISERROR(H44/B44),"n/a",H44/B44)</f>
        <v>n/a</v>
      </c>
      <c r="J44" s="11"/>
    </row>
    <row r="45" spans="1:10" ht="12.75">
      <c r="A45" s="344" t="s">
        <v>102</v>
      </c>
      <c r="B45" s="105">
        <f>SUM(B43:B44)</f>
        <v>0</v>
      </c>
      <c r="C45" s="175">
        <f>SUM(C43:C44)</f>
        <v>0</v>
      </c>
      <c r="D45" s="83" t="str">
        <f>IF(ISERROR(C45/B45),"n/a",C45/B45)</f>
        <v>n/a</v>
      </c>
      <c r="E45" s="41"/>
      <c r="F45" s="54"/>
      <c r="G45" s="48"/>
      <c r="H45" s="42">
        <f>SUM(H43:H44)</f>
        <v>0</v>
      </c>
      <c r="I45" s="83" t="str">
        <f>IF(ISERROR(H45/B45),"n/a",H45/B45)</f>
        <v>n/a</v>
      </c>
      <c r="J45" s="11"/>
    </row>
    <row r="46" spans="1:10" ht="4.5" customHeight="1">
      <c r="A46" s="111"/>
      <c r="B46" s="105"/>
      <c r="C46" s="175"/>
      <c r="D46" s="83"/>
      <c r="E46" s="41"/>
      <c r="F46" s="54"/>
      <c r="G46" s="48"/>
      <c r="H46" s="42"/>
      <c r="I46" s="83"/>
      <c r="J46" s="11"/>
    </row>
    <row r="47" spans="1:10" ht="12.75">
      <c r="A47" s="81" t="s">
        <v>168</v>
      </c>
      <c r="B47" s="105"/>
      <c r="C47" s="196"/>
      <c r="D47" s="83"/>
      <c r="E47" s="41"/>
      <c r="F47" s="54"/>
      <c r="G47" s="48"/>
      <c r="H47" s="42"/>
      <c r="I47" s="83"/>
      <c r="J47" s="11"/>
    </row>
    <row r="48" spans="1:10" ht="12.75">
      <c r="A48" s="344" t="s">
        <v>130</v>
      </c>
      <c r="B48" s="105">
        <v>0</v>
      </c>
      <c r="C48" s="196">
        <v>0</v>
      </c>
      <c r="D48" s="83" t="str">
        <f>IF(ISERROR(C48/B48),"n/a",C48/B48)</f>
        <v>n/a</v>
      </c>
      <c r="E48" s="41"/>
      <c r="F48" s="54">
        <v>1.5595101237373266</v>
      </c>
      <c r="G48" s="75"/>
      <c r="H48" s="42">
        <f>C48*F48</f>
        <v>0</v>
      </c>
      <c r="I48" s="83" t="str">
        <f>IF(ISERROR(H48/B48),"n/a",H48/B48)</f>
        <v>n/a</v>
      </c>
      <c r="J48" s="11"/>
    </row>
    <row r="49" spans="1:10" ht="12.75">
      <c r="A49" s="343" t="s">
        <v>292</v>
      </c>
      <c r="B49" s="105">
        <v>0</v>
      </c>
      <c r="C49" s="196">
        <v>0</v>
      </c>
      <c r="D49" s="83" t="str">
        <f>IF(ISERROR(C49/B49),"n/a",C49/B49)</f>
        <v>n/a</v>
      </c>
      <c r="E49" s="41"/>
      <c r="F49" s="54">
        <v>1.5595101237373266</v>
      </c>
      <c r="G49" s="75"/>
      <c r="H49" s="42">
        <f>C49*F49</f>
        <v>0</v>
      </c>
      <c r="I49" s="83" t="str">
        <f>IF(ISERROR(H49/B49),"n/a",H49/B49)</f>
        <v>n/a</v>
      </c>
      <c r="J49" s="11"/>
    </row>
    <row r="50" spans="1:10" ht="12.75">
      <c r="A50" s="344" t="s">
        <v>102</v>
      </c>
      <c r="B50" s="105">
        <f>SUM(B48:B49)</f>
        <v>0</v>
      </c>
      <c r="C50" s="175">
        <f>SUM(C48:C49)</f>
        <v>0</v>
      </c>
      <c r="D50" s="83" t="str">
        <f>IF(ISERROR(C50/B50),"n/a",C50/B50)</f>
        <v>n/a</v>
      </c>
      <c r="E50" s="41"/>
      <c r="F50" s="54"/>
      <c r="G50" s="48"/>
      <c r="H50" s="42">
        <f>SUM(H48:H49)</f>
        <v>0</v>
      </c>
      <c r="I50" s="83" t="str">
        <f>IF(ISERROR(H50/B50),"n/a",H50/B50)</f>
        <v>n/a</v>
      </c>
      <c r="J50" s="11"/>
    </row>
    <row r="51" spans="1:10" ht="4.5" customHeight="1">
      <c r="A51" s="111"/>
      <c r="B51" s="105"/>
      <c r="C51" s="175"/>
      <c r="D51" s="83"/>
      <c r="E51" s="41"/>
      <c r="F51" s="54"/>
      <c r="G51" s="48"/>
      <c r="H51" s="42"/>
      <c r="I51" s="83"/>
      <c r="J51" s="11"/>
    </row>
    <row r="52" spans="1:10" ht="12.75">
      <c r="A52" s="89" t="s">
        <v>169</v>
      </c>
      <c r="B52" s="14"/>
      <c r="C52" s="196"/>
      <c r="D52" s="92"/>
      <c r="E52" s="202"/>
      <c r="F52" s="203"/>
      <c r="G52" s="203"/>
      <c r="H52" s="196"/>
      <c r="I52" s="92"/>
      <c r="J52" s="11"/>
    </row>
    <row r="53" spans="1:10" ht="12.75">
      <c r="A53" s="81" t="s">
        <v>289</v>
      </c>
      <c r="B53" s="14"/>
      <c r="C53" s="196"/>
      <c r="D53" s="92"/>
      <c r="E53" s="202"/>
      <c r="F53" s="203"/>
      <c r="G53" s="203"/>
      <c r="H53" s="196"/>
      <c r="I53" s="92"/>
      <c r="J53" s="11"/>
    </row>
    <row r="54" spans="1:10" ht="12.75">
      <c r="A54" s="344" t="s">
        <v>130</v>
      </c>
      <c r="B54" s="105">
        <v>0</v>
      </c>
      <c r="C54" s="196">
        <v>0</v>
      </c>
      <c r="D54" s="83" t="str">
        <f>IF(ISERROR(C54/B54),"n/a",C54/B54)</f>
        <v>n/a</v>
      </c>
      <c r="E54" s="41"/>
      <c r="F54" s="54">
        <v>1.5595101237373266</v>
      </c>
      <c r="G54" s="75"/>
      <c r="H54" s="42">
        <f>IF(B54=0,0,C54*F54)</f>
        <v>0</v>
      </c>
      <c r="I54" s="83" t="str">
        <f>IF(ISERROR(H54/B54),"n/a",H54/B54)</f>
        <v>n/a</v>
      </c>
      <c r="J54" s="11"/>
    </row>
    <row r="55" spans="1:10" ht="12.75">
      <c r="A55" s="343" t="s">
        <v>292</v>
      </c>
      <c r="B55" s="105">
        <v>0</v>
      </c>
      <c r="C55" s="196">
        <v>0</v>
      </c>
      <c r="D55" s="83" t="str">
        <f>IF(ISERROR(C55/B55),"n/a",C55/B55)</f>
        <v>n/a</v>
      </c>
      <c r="E55" s="41"/>
      <c r="F55" s="54">
        <v>1.5595101237373266</v>
      </c>
      <c r="G55" s="75"/>
      <c r="H55" s="42">
        <f>C55*F55</f>
        <v>0</v>
      </c>
      <c r="I55" s="83" t="str">
        <f>IF(ISERROR(H55/B55),"n/a",H55/B55)</f>
        <v>n/a</v>
      </c>
      <c r="J55" s="11"/>
    </row>
    <row r="56" spans="1:10" ht="12.75">
      <c r="A56" s="344" t="s">
        <v>102</v>
      </c>
      <c r="B56" s="105">
        <f>SUM(B54:B55)</f>
        <v>0</v>
      </c>
      <c r="C56" s="175">
        <f>SUM(C54:C55)</f>
        <v>0</v>
      </c>
      <c r="D56" s="83" t="str">
        <f>IF(ISERROR(C56/B56),"n/a",C56/B56)</f>
        <v>n/a</v>
      </c>
      <c r="E56" s="41"/>
      <c r="F56" s="54"/>
      <c r="G56" s="48"/>
      <c r="H56" s="42">
        <f>SUM(H54:H55)</f>
        <v>0</v>
      </c>
      <c r="I56" s="83" t="str">
        <f>IF(ISERROR(H56/B56),"n/a",H56/B56)</f>
        <v>n/a</v>
      </c>
      <c r="J56" s="11"/>
    </row>
    <row r="57" spans="1:10" ht="4.5" customHeight="1">
      <c r="A57" s="111"/>
      <c r="B57" s="105"/>
      <c r="C57" s="175"/>
      <c r="D57" s="83"/>
      <c r="E57" s="41"/>
      <c r="F57" s="54"/>
      <c r="G57" s="48"/>
      <c r="H57" s="42"/>
      <c r="I57" s="83"/>
      <c r="J57" s="11"/>
    </row>
    <row r="58" spans="1:10" ht="12.75">
      <c r="A58" s="81" t="s">
        <v>168</v>
      </c>
      <c r="B58" s="14"/>
      <c r="C58" s="196"/>
      <c r="D58" s="85"/>
      <c r="E58" s="45"/>
      <c r="F58" s="76"/>
      <c r="G58" s="76"/>
      <c r="H58" s="46"/>
      <c r="I58" s="85"/>
      <c r="J58" s="11"/>
    </row>
    <row r="59" spans="1:10" ht="12.75">
      <c r="A59" s="344" t="s">
        <v>130</v>
      </c>
      <c r="B59" s="105">
        <v>0</v>
      </c>
      <c r="C59" s="196">
        <v>0</v>
      </c>
      <c r="D59" s="83" t="str">
        <f>IF(ISERROR(C59/B59),"n/a",C59/B59)</f>
        <v>n/a</v>
      </c>
      <c r="E59" s="41"/>
      <c r="F59" s="54">
        <v>1.5595101237373266</v>
      </c>
      <c r="G59" s="75"/>
      <c r="H59" s="42">
        <f>C59*F59</f>
        <v>0</v>
      </c>
      <c r="I59" s="83" t="str">
        <f>IF(ISERROR(H59/B59),"n/a",H59/B59)</f>
        <v>n/a</v>
      </c>
      <c r="J59" s="11"/>
    </row>
    <row r="60" spans="1:10" ht="12.75">
      <c r="A60" s="343" t="s">
        <v>292</v>
      </c>
      <c r="B60" s="105">
        <v>0</v>
      </c>
      <c r="C60" s="196">
        <v>0</v>
      </c>
      <c r="D60" s="83" t="str">
        <f>IF(ISERROR(C60/B60),"n/a",C60/B60)</f>
        <v>n/a</v>
      </c>
      <c r="E60" s="41"/>
      <c r="F60" s="54">
        <v>1.5595101237373266</v>
      </c>
      <c r="G60" s="75"/>
      <c r="H60" s="42">
        <f>C60*F60</f>
        <v>0</v>
      </c>
      <c r="I60" s="83" t="str">
        <f>IF(ISERROR(H60/B60),"n/a",H60/B60)</f>
        <v>n/a</v>
      </c>
      <c r="J60" s="11"/>
    </row>
    <row r="61" spans="1:10" ht="12.75">
      <c r="A61" s="344" t="s">
        <v>102</v>
      </c>
      <c r="B61" s="105">
        <f>SUM(B59:B60)</f>
        <v>0</v>
      </c>
      <c r="C61" s="175">
        <f>SUM(C59:C60)</f>
        <v>0</v>
      </c>
      <c r="D61" s="83" t="str">
        <f>IF(ISERROR(C61/B61),"n/a",C61/B61)</f>
        <v>n/a</v>
      </c>
      <c r="E61" s="41"/>
      <c r="F61" s="54"/>
      <c r="G61" s="48"/>
      <c r="H61" s="42">
        <f>SUM(H59:H60)</f>
        <v>0</v>
      </c>
      <c r="I61" s="83" t="str">
        <f>IF(ISERROR(H61/B61),"n/a",H61/B61)</f>
        <v>n/a</v>
      </c>
      <c r="J61" s="11"/>
    </row>
    <row r="62" spans="1:10" ht="12.75">
      <c r="A62" s="344"/>
      <c r="B62" s="105"/>
      <c r="C62" s="175"/>
      <c r="D62" s="83"/>
      <c r="E62" s="41"/>
      <c r="F62" s="54"/>
      <c r="G62" s="48"/>
      <c r="H62" s="42"/>
      <c r="I62" s="83"/>
      <c r="J62" s="11"/>
    </row>
    <row r="63" spans="1:10" ht="15.75">
      <c r="A63" s="158" t="s">
        <v>653</v>
      </c>
      <c r="J63" s="11"/>
    </row>
    <row r="64" spans="1:10" ht="15.75">
      <c r="A64" s="158" t="s">
        <v>787</v>
      </c>
      <c r="J64" s="11"/>
    </row>
    <row r="65" spans="2:10" ht="25.5">
      <c r="B65" s="168" t="s">
        <v>250</v>
      </c>
      <c r="C65" s="189" t="s">
        <v>249</v>
      </c>
      <c r="D65" s="8" t="s">
        <v>104</v>
      </c>
      <c r="E65" s="8"/>
      <c r="F65" s="199" t="s">
        <v>246</v>
      </c>
      <c r="G65" s="87"/>
      <c r="H65" s="160" t="s">
        <v>218</v>
      </c>
      <c r="I65" s="41" t="s">
        <v>133</v>
      </c>
      <c r="J65" s="11"/>
    </row>
    <row r="66" spans="1:10" ht="12.75">
      <c r="A66" s="15" t="s">
        <v>783</v>
      </c>
      <c r="B66" s="168"/>
      <c r="C66" s="189"/>
      <c r="D66" s="8"/>
      <c r="E66" s="8"/>
      <c r="F66" s="199"/>
      <c r="G66" s="87"/>
      <c r="H66" s="160"/>
      <c r="I66" s="41"/>
      <c r="J66" s="11"/>
    </row>
    <row r="67" spans="1:10" ht="12.75">
      <c r="A67" s="89" t="s">
        <v>174</v>
      </c>
      <c r="B67" s="105"/>
      <c r="C67" s="175"/>
      <c r="D67" s="83"/>
      <c r="E67" s="41"/>
      <c r="F67" s="54"/>
      <c r="G67" s="48"/>
      <c r="H67" s="42"/>
      <c r="I67" s="83"/>
      <c r="J67" s="11"/>
    </row>
    <row r="68" spans="1:10" ht="12.75">
      <c r="A68" s="82" t="s">
        <v>274</v>
      </c>
      <c r="B68" s="105"/>
      <c r="C68" s="175"/>
      <c r="D68" s="83"/>
      <c r="E68" s="41"/>
      <c r="F68" s="54"/>
      <c r="G68" s="48"/>
      <c r="H68" s="42"/>
      <c r="I68" s="83"/>
      <c r="J68" s="11"/>
    </row>
    <row r="69" spans="1:10" ht="12.75">
      <c r="A69" s="344" t="s">
        <v>130</v>
      </c>
      <c r="B69" s="105">
        <v>0</v>
      </c>
      <c r="C69" s="196">
        <v>0</v>
      </c>
      <c r="D69" s="83" t="str">
        <f>IF(ISERROR(C69/B69),"n/a",C69/B69)</f>
        <v>n/a</v>
      </c>
      <c r="E69" s="41"/>
      <c r="F69" s="54">
        <v>1.5595101237373266</v>
      </c>
      <c r="G69" s="48"/>
      <c r="H69" s="42">
        <f>C69*F69</f>
        <v>0</v>
      </c>
      <c r="I69" s="83" t="str">
        <f>IF(ISERROR(H69/B69),"n/a",H69/B69)</f>
        <v>n/a</v>
      </c>
      <c r="J69" s="11"/>
    </row>
    <row r="70" spans="1:10" ht="12.75">
      <c r="A70" s="343" t="s">
        <v>292</v>
      </c>
      <c r="B70" s="105">
        <v>1463.7644397153708</v>
      </c>
      <c r="C70" s="196">
        <v>17.882240774445734</v>
      </c>
      <c r="D70" s="83">
        <f>IF(ISERROR(C70/B70),"n/a",C70/B70)</f>
        <v>0.012216611012850495</v>
      </c>
      <c r="E70" s="41"/>
      <c r="F70" s="54">
        <v>1.5595101237373266</v>
      </c>
      <c r="G70" s="48"/>
      <c r="H70" s="42">
        <f>C70*F70</f>
        <v>27.88753552285653</v>
      </c>
      <c r="I70" s="83">
        <f>IF(ISERROR(H70/B70),"n/a",H70/B70)</f>
        <v>0.01905192855230126</v>
      </c>
      <c r="J70" s="11"/>
    </row>
    <row r="71" spans="1:10" ht="12.75">
      <c r="A71" s="344" t="s">
        <v>102</v>
      </c>
      <c r="B71" s="105">
        <f>SUM(B69:B70)</f>
        <v>1463.7644397153708</v>
      </c>
      <c r="C71" s="196">
        <f>SUM(C69:C70)</f>
        <v>17.882240774445734</v>
      </c>
      <c r="D71" s="83">
        <f>IF(ISERROR(C71/B71),"n/a",C71/B71)</f>
        <v>0.012216611012850495</v>
      </c>
      <c r="E71" s="41"/>
      <c r="F71" s="54"/>
      <c r="G71" s="48"/>
      <c r="H71" s="42">
        <f>SUM(H69:H70)</f>
        <v>27.88753552285653</v>
      </c>
      <c r="I71" s="83">
        <f>H71/B71</f>
        <v>0.01905192855230126</v>
      </c>
      <c r="J71" s="11"/>
    </row>
    <row r="72" spans="1:10" ht="4.5" customHeight="1">
      <c r="A72" s="111"/>
      <c r="B72" s="105"/>
      <c r="C72" s="175"/>
      <c r="D72" s="83"/>
      <c r="E72" s="41"/>
      <c r="F72" s="54"/>
      <c r="G72" s="48"/>
      <c r="H72" s="42"/>
      <c r="I72" s="83"/>
      <c r="J72" s="11"/>
    </row>
    <row r="73" spans="1:10" ht="12.75">
      <c r="A73" s="81" t="s">
        <v>279</v>
      </c>
      <c r="B73" s="105"/>
      <c r="C73" s="175"/>
      <c r="D73" s="83"/>
      <c r="E73" s="41"/>
      <c r="F73" s="54"/>
      <c r="G73" s="48"/>
      <c r="H73" s="42"/>
      <c r="I73" s="83"/>
      <c r="J73" s="11"/>
    </row>
    <row r="74" spans="1:10" ht="12.75">
      <c r="A74" s="344" t="s">
        <v>130</v>
      </c>
      <c r="B74" s="105">
        <v>0</v>
      </c>
      <c r="C74" s="196">
        <v>0</v>
      </c>
      <c r="D74" s="83" t="str">
        <f>IF(ISERROR(C74/B74),"n/a",C74/B74)</f>
        <v>n/a</v>
      </c>
      <c r="E74" s="41"/>
      <c r="F74" s="54">
        <v>1.5595101237373266</v>
      </c>
      <c r="G74" s="48"/>
      <c r="H74" s="42">
        <f>C74*F74</f>
        <v>0</v>
      </c>
      <c r="I74" s="83" t="str">
        <f>IF(ISERROR(H74/B74),"n/a",H74/B74)</f>
        <v>n/a</v>
      </c>
      <c r="J74" s="11"/>
    </row>
    <row r="75" spans="1:10" ht="12.75">
      <c r="A75" s="343" t="s">
        <v>292</v>
      </c>
      <c r="B75" s="105">
        <v>2730.09911037519</v>
      </c>
      <c r="C75" s="196">
        <v>33.3525588579829</v>
      </c>
      <c r="D75" s="83">
        <f>IF(ISERROR(C75/B75),"n/a",C75/B75)</f>
        <v>0.0122166110128505</v>
      </c>
      <c r="E75" s="41"/>
      <c r="F75" s="54">
        <v>1.5595101237373266</v>
      </c>
      <c r="G75" s="48"/>
      <c r="H75" s="42">
        <f>C75*F75</f>
        <v>52.013653191569375</v>
      </c>
      <c r="I75" s="83">
        <f>IF(ISERROR(H75/B75),"n/a",H75/B75)</f>
        <v>0.01905192855230127</v>
      </c>
      <c r="J75" s="11"/>
    </row>
    <row r="76" spans="1:10" ht="12.75">
      <c r="A76" s="344" t="s">
        <v>102</v>
      </c>
      <c r="B76" s="105">
        <f>SUM(B74:B75)</f>
        <v>2730.09911037519</v>
      </c>
      <c r="C76" s="196">
        <f>SUM(C74:C75)</f>
        <v>33.3525588579829</v>
      </c>
      <c r="D76" s="83">
        <f>IF(ISERROR(C76/B76),"n/a",C76/B76)</f>
        <v>0.0122166110128505</v>
      </c>
      <c r="E76" s="41"/>
      <c r="F76" s="54"/>
      <c r="G76" s="48"/>
      <c r="H76" s="42">
        <f>SUM(H74:H75)</f>
        <v>52.013653191569375</v>
      </c>
      <c r="I76" s="83">
        <f>H76/B76</f>
        <v>0.01905192855230127</v>
      </c>
      <c r="J76" s="11"/>
    </row>
    <row r="77" spans="1:10" ht="4.5" customHeight="1">
      <c r="A77" s="344"/>
      <c r="B77" s="105"/>
      <c r="C77" s="175"/>
      <c r="D77" s="83"/>
      <c r="E77" s="41"/>
      <c r="F77" s="54"/>
      <c r="G77" s="48"/>
      <c r="H77" s="42"/>
      <c r="I77" s="83"/>
      <c r="J77" s="11"/>
    </row>
    <row r="78" spans="1:10" ht="12.75">
      <c r="A78" s="21" t="s">
        <v>308</v>
      </c>
      <c r="B78" s="105"/>
      <c r="C78" s="175"/>
      <c r="D78" s="83"/>
      <c r="E78" s="41"/>
      <c r="F78" s="54"/>
      <c r="G78" s="48"/>
      <c r="H78" s="42"/>
      <c r="I78" s="83"/>
      <c r="J78" s="11"/>
    </row>
    <row r="79" spans="1:10" ht="12.75">
      <c r="A79" s="82" t="s">
        <v>274</v>
      </c>
      <c r="B79" s="105"/>
      <c r="C79" s="175"/>
      <c r="D79" s="83"/>
      <c r="E79" s="41"/>
      <c r="F79" s="54"/>
      <c r="G79" s="48"/>
      <c r="H79" s="42"/>
      <c r="I79" s="83"/>
      <c r="J79" s="11"/>
    </row>
    <row r="80" spans="1:10" ht="12.75">
      <c r="A80" s="344" t="s">
        <v>130</v>
      </c>
      <c r="B80" s="105">
        <v>0</v>
      </c>
      <c r="C80" s="175">
        <v>0</v>
      </c>
      <c r="D80" s="83" t="str">
        <f>IF(ISERROR(C80/B80),"n/a",C80/B80)</f>
        <v>n/a</v>
      </c>
      <c r="E80" s="41"/>
      <c r="F80" s="54">
        <v>1.5595101237373266</v>
      </c>
      <c r="G80" s="48"/>
      <c r="H80" s="42">
        <f>C80*F80</f>
        <v>0</v>
      </c>
      <c r="I80" s="83" t="str">
        <f>IF(ISERROR(H80/B80),"n/a",H80/B80)</f>
        <v>n/a</v>
      </c>
      <c r="J80" s="11"/>
    </row>
    <row r="81" spans="1:10" ht="12.75">
      <c r="A81" s="343" t="s">
        <v>292</v>
      </c>
      <c r="B81" s="105">
        <v>1463.7644397153708</v>
      </c>
      <c r="C81" s="175">
        <v>327.7115796331172</v>
      </c>
      <c r="D81" s="83">
        <f>IF(ISERROR(C81/B81),"n/a",C81/B81)</f>
        <v>0.22388273054156224</v>
      </c>
      <c r="E81" s="41"/>
      <c r="F81" s="54">
        <v>1.5595101237373266</v>
      </c>
      <c r="G81" s="48"/>
      <c r="H81" s="42">
        <f>C81*F81</f>
        <v>511.06952610379733</v>
      </c>
      <c r="I81" s="83">
        <f>IF(ISERROR(H81/B81),"n/a",H81/B81)</f>
        <v>0.3491473848095223</v>
      </c>
      <c r="J81" s="11"/>
    </row>
    <row r="82" spans="1:10" ht="12.75">
      <c r="A82" s="344" t="s">
        <v>102</v>
      </c>
      <c r="B82" s="105">
        <f>SUM(B80:B81)</f>
        <v>1463.7644397153708</v>
      </c>
      <c r="C82" s="196">
        <f>SUM(C80:C81)</f>
        <v>327.7115796331172</v>
      </c>
      <c r="D82" s="83">
        <f>IF(ISERROR(C82/B82),"n/a",C82/B82)</f>
        <v>0.22388273054156224</v>
      </c>
      <c r="E82" s="41"/>
      <c r="F82" s="54"/>
      <c r="G82" s="48"/>
      <c r="H82" s="42">
        <f>SUM(H80:H81)</f>
        <v>511.06952610379733</v>
      </c>
      <c r="I82" s="83">
        <f>H82/B82</f>
        <v>0.3491473848095223</v>
      </c>
      <c r="J82" s="11"/>
    </row>
    <row r="83" spans="1:10" ht="4.5" customHeight="1">
      <c r="A83" s="111"/>
      <c r="B83" s="105"/>
      <c r="C83" s="175"/>
      <c r="D83" s="83"/>
      <c r="E83" s="41"/>
      <c r="F83" s="54"/>
      <c r="G83" s="48"/>
      <c r="H83" s="42"/>
      <c r="I83" s="83"/>
      <c r="J83" s="11"/>
    </row>
    <row r="84" spans="1:10" ht="12.75">
      <c r="A84" s="81" t="s">
        <v>279</v>
      </c>
      <c r="B84" s="105"/>
      <c r="C84" s="175"/>
      <c r="D84" s="83"/>
      <c r="E84" s="41"/>
      <c r="F84" s="54"/>
      <c r="G84" s="48"/>
      <c r="H84" s="42"/>
      <c r="I84" s="83"/>
      <c r="J84" s="11"/>
    </row>
    <row r="85" spans="1:10" ht="12.75">
      <c r="A85" s="344" t="s">
        <v>130</v>
      </c>
      <c r="B85" s="105">
        <v>0</v>
      </c>
      <c r="C85" s="175">
        <v>0</v>
      </c>
      <c r="D85" s="83" t="str">
        <f>IF(ISERROR(C85/B85),"n/a",C85/B85)</f>
        <v>n/a</v>
      </c>
      <c r="E85" s="41"/>
      <c r="F85" s="54">
        <v>1.5595101237373266</v>
      </c>
      <c r="G85" s="48"/>
      <c r="H85" s="42">
        <f>C85*F85</f>
        <v>0</v>
      </c>
      <c r="I85" s="83" t="str">
        <f>IF(ISERROR(H85/B85),"n/a",H85/B85)</f>
        <v>n/a</v>
      </c>
      <c r="J85" s="11"/>
    </row>
    <row r="86" spans="1:10" ht="12.75">
      <c r="A86" s="343" t="s">
        <v>292</v>
      </c>
      <c r="B86" s="105">
        <v>2730.09911037519</v>
      </c>
      <c r="C86" s="175">
        <v>611.2220434798872</v>
      </c>
      <c r="D86" s="83">
        <f>IF(ISERROR(C86/B86),"n/a",C86/B86)</f>
        <v>0.22388273054156219</v>
      </c>
      <c r="E86" s="41"/>
      <c r="F86" s="54">
        <v>1.5595101237373266</v>
      </c>
      <c r="G86" s="48"/>
      <c r="H86" s="42">
        <f>C86*F86</f>
        <v>953.2069646583005</v>
      </c>
      <c r="I86" s="83">
        <f>IF(ISERROR(H86/B86),"n/a",H86/B86)</f>
        <v>0.3491473848095222</v>
      </c>
      <c r="J86" s="11"/>
    </row>
    <row r="87" spans="1:10" ht="12.75">
      <c r="A87" s="344" t="s">
        <v>102</v>
      </c>
      <c r="B87" s="105">
        <f>SUM(B85:B86)</f>
        <v>2730.09911037519</v>
      </c>
      <c r="C87" s="196">
        <f>SUM(C85:C86)</f>
        <v>611.2220434798872</v>
      </c>
      <c r="D87" s="83">
        <f>IF(ISERROR(C87/B87),"n/a",C87/B87)</f>
        <v>0.22388273054156219</v>
      </c>
      <c r="E87" s="41"/>
      <c r="F87" s="54"/>
      <c r="G87" s="48"/>
      <c r="H87" s="42">
        <f>SUM(H85:H86)</f>
        <v>953.2069646583005</v>
      </c>
      <c r="I87" s="83">
        <f>H87/B87</f>
        <v>0.3491473848095222</v>
      </c>
      <c r="J87" s="11"/>
    </row>
    <row r="88" spans="1:10" ht="12.75" hidden="1">
      <c r="A88" s="343"/>
      <c r="B88" s="105"/>
      <c r="C88" s="196"/>
      <c r="D88" s="83"/>
      <c r="E88" s="41"/>
      <c r="F88" s="54"/>
      <c r="G88" s="48"/>
      <c r="H88" s="42"/>
      <c r="I88" s="83"/>
      <c r="J88" s="11"/>
    </row>
    <row r="89" spans="1:10" ht="12.75" hidden="1">
      <c r="A89" s="344"/>
      <c r="B89" s="105"/>
      <c r="C89" s="196"/>
      <c r="D89" s="83"/>
      <c r="E89" s="41"/>
      <c r="F89" s="54"/>
      <c r="G89" s="48"/>
      <c r="H89" s="42"/>
      <c r="I89" s="83"/>
      <c r="J89" s="11"/>
    </row>
    <row r="90" spans="1:10" ht="12.75" hidden="1">
      <c r="A90" s="27"/>
      <c r="B90" s="547" t="s">
        <v>193</v>
      </c>
      <c r="C90" s="32">
        <f>SUM(C7,C12,C17,C23,C28,C33,C43,C48,C54,C59)</f>
        <v>0</v>
      </c>
      <c r="D90" s="31">
        <v>0</v>
      </c>
      <c r="E90" s="132"/>
      <c r="F90" s="128">
        <f>C90-D90</f>
        <v>0</v>
      </c>
      <c r="G90" s="78"/>
      <c r="H90" s="64"/>
      <c r="I90" s="64"/>
      <c r="J90" s="11"/>
    </row>
    <row r="91" spans="1:10" ht="12.75" hidden="1">
      <c r="A91" s="140"/>
      <c r="B91" s="547" t="s">
        <v>194</v>
      </c>
      <c r="C91" s="32">
        <f>SUM(C8,C13,C18,C24,C29,C34,C44,C49,C55,C60)</f>
        <v>9001.736791087675</v>
      </c>
      <c r="D91" s="31">
        <v>9001.736791087675</v>
      </c>
      <c r="E91" s="130"/>
      <c r="F91" s="128">
        <f>C91-D91</f>
        <v>0</v>
      </c>
      <c r="G91" s="78"/>
      <c r="H91" s="64"/>
      <c r="I91" s="64"/>
      <c r="J91" s="11"/>
    </row>
    <row r="92" spans="1:10" ht="12.75" hidden="1">
      <c r="A92" s="140"/>
      <c r="B92" s="547" t="s">
        <v>195</v>
      </c>
      <c r="C92" s="32">
        <f>SUM(C90:C91)</f>
        <v>9001.736791087675</v>
      </c>
      <c r="D92" s="32">
        <f>SUM(D90:D91)</f>
        <v>9001.736791087675</v>
      </c>
      <c r="E92" s="137"/>
      <c r="F92" s="128">
        <f>C92-D92</f>
        <v>0</v>
      </c>
      <c r="G92" s="78"/>
      <c r="H92" s="64"/>
      <c r="I92" s="64"/>
      <c r="J92" s="11"/>
    </row>
    <row r="93" spans="1:10" ht="12.75" hidden="1">
      <c r="A93" s="140"/>
      <c r="B93" s="548" t="s">
        <v>196</v>
      </c>
      <c r="C93" s="31">
        <f>C43+C48+C54+C59</f>
        <v>0</v>
      </c>
      <c r="D93" s="31">
        <v>0</v>
      </c>
      <c r="E93" s="130"/>
      <c r="F93" s="128">
        <f>C93-D93</f>
        <v>0</v>
      </c>
      <c r="G93" s="78"/>
      <c r="H93" s="64"/>
      <c r="I93" s="64"/>
      <c r="J93" s="11"/>
    </row>
    <row r="94" spans="1:10" ht="12.75" hidden="1">
      <c r="A94" s="140"/>
      <c r="B94" s="548" t="s">
        <v>197</v>
      </c>
      <c r="C94" s="31">
        <f>C44+C49+C55+C60</f>
        <v>0</v>
      </c>
      <c r="D94" s="31">
        <v>0</v>
      </c>
      <c r="E94" s="130"/>
      <c r="F94" s="128">
        <f>C94-D94</f>
        <v>0</v>
      </c>
      <c r="G94" s="78"/>
      <c r="H94" s="64"/>
      <c r="I94" s="64"/>
      <c r="J94" s="11"/>
    </row>
    <row r="95" spans="1:10" ht="12.75" hidden="1">
      <c r="A95" s="11"/>
      <c r="C95" s="64"/>
      <c r="D95" s="64"/>
      <c r="E95" s="64"/>
      <c r="F95" s="78"/>
      <c r="G95" s="78"/>
      <c r="H95" s="64"/>
      <c r="I95" s="64"/>
      <c r="J95" s="11"/>
    </row>
    <row r="96" spans="1:10" ht="12.75" hidden="1">
      <c r="A96" s="11"/>
      <c r="C96" s="64"/>
      <c r="D96" s="64"/>
      <c r="E96" s="64"/>
      <c r="F96" s="78"/>
      <c r="G96" s="78"/>
      <c r="H96" s="64"/>
      <c r="I96" s="64"/>
      <c r="J96" s="11"/>
    </row>
    <row r="97" spans="1:10" ht="12.75" hidden="1">
      <c r="A97" s="347" t="s">
        <v>198</v>
      </c>
      <c r="B97" s="133">
        <v>0</v>
      </c>
      <c r="C97" s="136" t="s">
        <v>199</v>
      </c>
      <c r="D97" s="64"/>
      <c r="E97" s="64"/>
      <c r="F97" s="78"/>
      <c r="G97" s="78"/>
      <c r="H97" s="64"/>
      <c r="I97" s="64"/>
      <c r="J97" s="11"/>
    </row>
    <row r="98" spans="1:10" ht="12.75" hidden="1">
      <c r="A98" s="347" t="s">
        <v>200</v>
      </c>
      <c r="B98" s="133">
        <v>0</v>
      </c>
      <c r="C98" s="64" t="s">
        <v>201</v>
      </c>
      <c r="D98" s="64"/>
      <c r="E98" s="64"/>
      <c r="F98" s="78"/>
      <c r="G98" s="78"/>
      <c r="H98" s="64"/>
      <c r="I98" s="64"/>
      <c r="J98" s="11"/>
    </row>
    <row r="99" spans="1:10" ht="12.75" hidden="1">
      <c r="A99" s="347" t="s">
        <v>202</v>
      </c>
      <c r="B99" s="133">
        <v>0</v>
      </c>
      <c r="C99" s="64"/>
      <c r="D99" s="64"/>
      <c r="E99" s="64"/>
      <c r="F99" s="78"/>
      <c r="G99" s="78"/>
      <c r="H99" s="64"/>
      <c r="I99" s="64"/>
      <c r="J99" s="11"/>
    </row>
    <row r="100" spans="1:10" ht="12.75" hidden="1">
      <c r="A100" s="347" t="s">
        <v>203</v>
      </c>
      <c r="B100" s="133">
        <v>0</v>
      </c>
      <c r="C100" s="136" t="s">
        <v>204</v>
      </c>
      <c r="D100" s="64"/>
      <c r="E100" s="64"/>
      <c r="F100" s="78"/>
      <c r="G100" s="78"/>
      <c r="H100" s="64"/>
      <c r="I100" s="64"/>
      <c r="J100" s="11"/>
    </row>
    <row r="101" spans="1:10" ht="12.75" hidden="1">
      <c r="A101" s="347" t="s">
        <v>205</v>
      </c>
      <c r="B101" s="133">
        <v>0</v>
      </c>
      <c r="C101" s="64"/>
      <c r="D101" s="64"/>
      <c r="E101" s="64"/>
      <c r="F101" s="78"/>
      <c r="G101" s="78"/>
      <c r="H101" s="64"/>
      <c r="I101" s="64"/>
      <c r="J101" s="11"/>
    </row>
    <row r="102" spans="1:10" ht="12.75" hidden="1">
      <c r="A102" s="11"/>
      <c r="C102" s="64"/>
      <c r="D102" s="64"/>
      <c r="E102" s="64"/>
      <c r="F102" s="78"/>
      <c r="G102" s="78"/>
      <c r="H102" s="64"/>
      <c r="I102" s="64"/>
      <c r="J102" s="11"/>
    </row>
    <row r="103" spans="1:10" ht="12.75" hidden="1">
      <c r="A103" s="140"/>
      <c r="B103" s="548" t="s">
        <v>231</v>
      </c>
      <c r="C103" s="32">
        <f>C23+C28+C33</f>
        <v>0</v>
      </c>
      <c r="D103" s="32">
        <v>0</v>
      </c>
      <c r="E103" s="64"/>
      <c r="F103" s="128">
        <f>C103-D103</f>
        <v>0</v>
      </c>
      <c r="G103" s="78"/>
      <c r="H103" s="242"/>
      <c r="I103" s="64"/>
      <c r="J103" s="11"/>
    </row>
    <row r="104" spans="1:10" ht="12.75" hidden="1">
      <c r="A104" s="140"/>
      <c r="B104" s="548" t="s">
        <v>232</v>
      </c>
      <c r="C104" s="32">
        <f>C24+C29+C34</f>
        <v>843.3320722508822</v>
      </c>
      <c r="D104" s="32">
        <v>843.3320722508826</v>
      </c>
      <c r="E104" s="64"/>
      <c r="F104" s="128">
        <f>C104-D104</f>
        <v>0</v>
      </c>
      <c r="G104" s="78"/>
      <c r="H104" s="242"/>
      <c r="I104" s="64"/>
      <c r="J104" s="11"/>
    </row>
    <row r="105" spans="1:10" ht="12.75" hidden="1">
      <c r="A105" s="140"/>
      <c r="B105" s="548"/>
      <c r="C105" s="32"/>
      <c r="D105" s="32"/>
      <c r="E105" s="64"/>
      <c r="F105" s="128"/>
      <c r="G105" s="78"/>
      <c r="H105" s="242"/>
      <c r="I105" s="64"/>
      <c r="J105" s="11"/>
    </row>
    <row r="106" spans="1:10" ht="12.75" hidden="1">
      <c r="A106" s="140"/>
      <c r="B106" s="347" t="s">
        <v>293</v>
      </c>
      <c r="C106" s="32">
        <f>C69+C80</f>
        <v>0</v>
      </c>
      <c r="D106" s="32">
        <v>0</v>
      </c>
      <c r="E106" s="64"/>
      <c r="F106" s="128">
        <f>C106-D106</f>
        <v>0</v>
      </c>
      <c r="G106" s="78"/>
      <c r="H106" s="242"/>
      <c r="I106" s="64"/>
      <c r="J106" s="11"/>
    </row>
    <row r="107" spans="1:10" ht="12.75" hidden="1">
      <c r="A107" s="140"/>
      <c r="B107" s="347" t="s">
        <v>294</v>
      </c>
      <c r="C107" s="32">
        <f>C70+C81</f>
        <v>345.59382040756293</v>
      </c>
      <c r="D107" s="32">
        <v>345.59382040756293</v>
      </c>
      <c r="E107" s="64"/>
      <c r="F107" s="128">
        <f>C107-D107</f>
        <v>0</v>
      </c>
      <c r="G107" s="78"/>
      <c r="H107" s="242"/>
      <c r="I107" s="64"/>
      <c r="J107" s="11"/>
    </row>
    <row r="108" spans="1:10" ht="12.75" hidden="1">
      <c r="A108" s="140"/>
      <c r="B108" s="347" t="s">
        <v>295</v>
      </c>
      <c r="C108" s="32">
        <f>C74+C85</f>
        <v>0</v>
      </c>
      <c r="D108" s="32">
        <v>0</v>
      </c>
      <c r="E108" s="64"/>
      <c r="F108" s="128">
        <f>C108-D108</f>
        <v>0</v>
      </c>
      <c r="G108" s="78"/>
      <c r="H108" s="242"/>
      <c r="I108" s="64"/>
      <c r="J108" s="11"/>
    </row>
    <row r="109" spans="1:10" ht="12.75" hidden="1">
      <c r="A109" s="140"/>
      <c r="B109" s="347" t="s">
        <v>296</v>
      </c>
      <c r="C109" s="32">
        <f>C75+C86</f>
        <v>644.5746023378701</v>
      </c>
      <c r="D109" s="32">
        <v>644.5746023378701</v>
      </c>
      <c r="E109" s="64"/>
      <c r="F109" s="128">
        <f>C109-D109</f>
        <v>0</v>
      </c>
      <c r="G109" s="78"/>
      <c r="H109" s="242"/>
      <c r="I109" s="64"/>
      <c r="J109" s="11"/>
    </row>
    <row r="110" spans="1:10" ht="12.75" hidden="1">
      <c r="A110" s="140"/>
      <c r="B110" s="347"/>
      <c r="C110" s="32"/>
      <c r="D110" s="32"/>
      <c r="E110" s="348"/>
      <c r="F110" s="349"/>
      <c r="G110" s="78"/>
      <c r="H110" s="242"/>
      <c r="I110" s="64"/>
      <c r="J110" s="11"/>
    </row>
    <row r="111" spans="1:10" ht="12.75" hidden="1">
      <c r="A111" s="145" t="s">
        <v>297</v>
      </c>
      <c r="B111" s="133">
        <v>0</v>
      </c>
      <c r="C111" s="32"/>
      <c r="D111" s="32"/>
      <c r="E111" s="64"/>
      <c r="F111" s="349"/>
      <c r="G111" s="78"/>
      <c r="H111" s="242"/>
      <c r="I111" s="64"/>
      <c r="J111" s="11"/>
    </row>
    <row r="112" spans="1:10" ht="12.75" hidden="1">
      <c r="A112" s="145" t="s">
        <v>298</v>
      </c>
      <c r="B112" s="133">
        <v>0</v>
      </c>
      <c r="C112" s="32"/>
      <c r="D112" s="32"/>
      <c r="E112" s="64"/>
      <c r="F112" s="349"/>
      <c r="G112" s="78"/>
      <c r="H112" s="242"/>
      <c r="I112" s="64"/>
      <c r="J112" s="11"/>
    </row>
    <row r="113" spans="1:10" ht="12.75" hidden="1">
      <c r="A113" s="145" t="s">
        <v>299</v>
      </c>
      <c r="B113" s="133">
        <v>0</v>
      </c>
      <c r="C113" s="32"/>
      <c r="D113" s="32"/>
      <c r="E113" s="64"/>
      <c r="F113" s="349"/>
      <c r="G113" s="78"/>
      <c r="H113" s="242"/>
      <c r="I113" s="64"/>
      <c r="J113" s="11"/>
    </row>
    <row r="114" spans="1:10" ht="12.75" hidden="1">
      <c r="A114" s="145" t="s">
        <v>300</v>
      </c>
      <c r="B114" s="133">
        <v>0</v>
      </c>
      <c r="C114" s="32"/>
      <c r="D114" s="32"/>
      <c r="E114" s="64"/>
      <c r="F114" s="349"/>
      <c r="G114" s="78"/>
      <c r="H114" s="242"/>
      <c r="I114" s="64"/>
      <c r="J114" s="11"/>
    </row>
    <row r="115" spans="1:10" ht="12.75">
      <c r="A115" s="141"/>
      <c r="B115" s="283"/>
      <c r="C115" s="293"/>
      <c r="D115" s="293"/>
      <c r="E115" s="293"/>
      <c r="F115" s="78"/>
      <c r="G115" s="78"/>
      <c r="H115" s="64"/>
      <c r="I115" s="64"/>
      <c r="J115" s="11"/>
    </row>
    <row r="116" spans="1:10" ht="12.75">
      <c r="A116" s="11" t="s">
        <v>235</v>
      </c>
      <c r="C116" s="64"/>
      <c r="D116" s="64"/>
      <c r="E116" s="64"/>
      <c r="F116" s="78"/>
      <c r="G116" s="78"/>
      <c r="H116" s="64"/>
      <c r="I116" s="64"/>
      <c r="J116" s="11"/>
    </row>
    <row r="117" spans="1:10" ht="12.75">
      <c r="A117" s="25" t="s">
        <v>803</v>
      </c>
      <c r="C117" s="64"/>
      <c r="D117" s="64"/>
      <c r="E117" s="64"/>
      <c r="F117" s="78"/>
      <c r="G117" s="78"/>
      <c r="H117" s="64"/>
      <c r="I117" s="64"/>
      <c r="J117" s="11"/>
    </row>
    <row r="118" spans="1:10" ht="12.75">
      <c r="A118" s="25" t="s">
        <v>795</v>
      </c>
      <c r="C118" s="64"/>
      <c r="D118" s="64"/>
      <c r="E118" s="64"/>
      <c r="F118" s="78"/>
      <c r="G118" s="78"/>
      <c r="H118" s="64"/>
      <c r="I118" s="64"/>
      <c r="J118" s="11"/>
    </row>
    <row r="119" spans="1:10" ht="12.75">
      <c r="A119" s="11"/>
      <c r="C119" s="64"/>
      <c r="D119" s="64"/>
      <c r="E119" s="64"/>
      <c r="F119" s="78"/>
      <c r="G119" s="78"/>
      <c r="H119" s="64"/>
      <c r="I119" s="64"/>
      <c r="J119" s="11"/>
    </row>
    <row r="120" spans="1:10" ht="12.75">
      <c r="A120" s="11"/>
      <c r="C120" s="64"/>
      <c r="D120" s="64"/>
      <c r="E120" s="64"/>
      <c r="F120" s="78"/>
      <c r="G120" s="78"/>
      <c r="H120" s="64"/>
      <c r="I120" s="64"/>
      <c r="J120" s="11"/>
    </row>
    <row r="121" spans="1:10" ht="12.75">
      <c r="A121" s="11"/>
      <c r="C121" s="64"/>
      <c r="D121" s="64"/>
      <c r="E121" s="64"/>
      <c r="F121" s="78"/>
      <c r="G121" s="78"/>
      <c r="H121" s="64"/>
      <c r="I121" s="64"/>
      <c r="J121" s="11"/>
    </row>
    <row r="122" spans="1:10" ht="12.75">
      <c r="A122" s="11"/>
      <c r="C122" s="64"/>
      <c r="D122" s="64"/>
      <c r="E122" s="64"/>
      <c r="F122" s="78"/>
      <c r="G122" s="78"/>
      <c r="H122" s="64"/>
      <c r="I122" s="64"/>
      <c r="J122" s="11"/>
    </row>
    <row r="123" spans="1:10" ht="12.75">
      <c r="A123" s="11"/>
      <c r="C123" s="64"/>
      <c r="D123" s="64"/>
      <c r="E123" s="64"/>
      <c r="F123" s="78"/>
      <c r="G123" s="78"/>
      <c r="H123" s="64"/>
      <c r="I123" s="64"/>
      <c r="J123" s="11"/>
    </row>
    <row r="124" spans="1:10" ht="12.75">
      <c r="A124" s="11"/>
      <c r="C124" s="64"/>
      <c r="D124" s="64"/>
      <c r="E124" s="64"/>
      <c r="F124" s="78"/>
      <c r="G124" s="78"/>
      <c r="H124" s="64"/>
      <c r="I124" s="64"/>
      <c r="J124" s="11"/>
    </row>
    <row r="125" spans="1:10" ht="12.75">
      <c r="A125" s="11"/>
      <c r="C125" s="64"/>
      <c r="D125" s="64"/>
      <c r="E125" s="64"/>
      <c r="F125" s="78"/>
      <c r="G125" s="78"/>
      <c r="H125" s="64"/>
      <c r="I125" s="64"/>
      <c r="J125" s="11"/>
    </row>
  </sheetData>
  <sheetProtection/>
  <printOptions horizontalCentered="1"/>
  <pageMargins left="0.75" right="0.75" top="1" bottom="1" header="0.5" footer="0.5"/>
  <pageSetup fitToHeight="3" horizontalDpi="600" verticalDpi="600" orientation="landscape" r:id="rId1"/>
  <headerFooter alignWithMargins="0">
    <oddFooter>&amp;L&amp;F</oddFooter>
  </headerFooter>
  <rowBreaks count="2" manualBreakCount="2">
    <brk id="36" max="8" man="1"/>
    <brk id="62" max="8" man="1"/>
  </rowBreaks>
</worksheet>
</file>

<file path=xl/worksheets/sheet23.xml><?xml version="1.0" encoding="utf-8"?>
<worksheet xmlns="http://schemas.openxmlformats.org/spreadsheetml/2006/main" xmlns:r="http://schemas.openxmlformats.org/officeDocument/2006/relationships">
  <sheetPr>
    <pageSetUpPr fitToPage="1"/>
  </sheetPr>
  <dimension ref="A1:Q34"/>
  <sheetViews>
    <sheetView zoomScale="70" zoomScaleNormal="70" zoomScalePageLayoutView="0" workbookViewId="0" topLeftCell="A1">
      <selection activeCell="A1" sqref="A1"/>
    </sheetView>
  </sheetViews>
  <sheetFormatPr defaultColWidth="9.140625" defaultRowHeight="12.75"/>
  <cols>
    <col min="1" max="1" width="25.7109375" style="11" customWidth="1"/>
    <col min="2" max="2" width="9.28125" style="11" customWidth="1"/>
    <col min="3" max="3" width="2.7109375" style="11" customWidth="1"/>
    <col min="4" max="4" width="8.7109375" style="11" customWidth="1"/>
    <col min="5" max="5" width="2.7109375" style="11" customWidth="1"/>
    <col min="6" max="6" width="9.28125" style="11" customWidth="1"/>
    <col min="7" max="7" width="2.7109375" style="11" customWidth="1"/>
    <col min="8" max="8" width="7.421875" style="11" customWidth="1"/>
    <col min="9" max="9" width="3.28125" style="11" customWidth="1"/>
    <col min="10" max="10" width="9.28125" style="11" customWidth="1"/>
    <col min="11" max="11" width="7.421875" style="11" customWidth="1"/>
    <col min="12" max="16384" width="9.140625" style="11" customWidth="1"/>
  </cols>
  <sheetData>
    <row r="1" spans="1:5" ht="15.75">
      <c r="A1" s="158" t="s">
        <v>562</v>
      </c>
      <c r="B1" s="36"/>
      <c r="C1" s="36"/>
      <c r="D1" s="36"/>
      <c r="E1" s="36"/>
    </row>
    <row r="2" spans="1:8" ht="15.75">
      <c r="A2" s="158" t="s">
        <v>787</v>
      </c>
      <c r="B2" s="36"/>
      <c r="C2" s="36"/>
      <c r="D2" s="36"/>
      <c r="E2" s="36"/>
      <c r="H2" s="48"/>
    </row>
    <row r="3" spans="2:11" ht="39.75" customHeight="1">
      <c r="B3" s="160" t="s">
        <v>216</v>
      </c>
      <c r="C3" s="160"/>
      <c r="D3" s="160" t="s">
        <v>257</v>
      </c>
      <c r="E3" s="160"/>
      <c r="F3" s="160" t="s">
        <v>478</v>
      </c>
      <c r="G3" s="160"/>
      <c r="H3" s="160" t="s">
        <v>271</v>
      </c>
      <c r="J3" s="160" t="s">
        <v>273</v>
      </c>
      <c r="K3" s="160" t="s">
        <v>272</v>
      </c>
    </row>
    <row r="4" ht="12.75">
      <c r="A4" s="25" t="s">
        <v>784</v>
      </c>
    </row>
    <row r="5" spans="1:8" ht="12.75">
      <c r="A5" s="11" t="s">
        <v>212</v>
      </c>
      <c r="B5" s="40">
        <v>0</v>
      </c>
      <c r="C5" s="285"/>
      <c r="F5" s="40">
        <v>0</v>
      </c>
      <c r="G5" s="285"/>
      <c r="H5" s="162">
        <v>0</v>
      </c>
    </row>
    <row r="6" spans="1:3" ht="12.75">
      <c r="A6" s="25" t="s">
        <v>262</v>
      </c>
      <c r="B6" s="40">
        <v>0</v>
      </c>
      <c r="C6" s="285"/>
    </row>
    <row r="7" spans="1:5" ht="12.75">
      <c r="A7" s="25" t="s">
        <v>263</v>
      </c>
      <c r="B7" s="53">
        <f>B6*D7</f>
        <v>0</v>
      </c>
      <c r="C7" s="53"/>
      <c r="D7" s="163"/>
      <c r="E7" s="305"/>
    </row>
    <row r="8" spans="1:3" ht="12.75">
      <c r="A8" s="25" t="s">
        <v>213</v>
      </c>
      <c r="B8" s="53">
        <f>B5-B7</f>
        <v>0</v>
      </c>
      <c r="C8" s="53"/>
    </row>
    <row r="9" spans="1:5" ht="12.75">
      <c r="A9" s="25" t="s">
        <v>214</v>
      </c>
      <c r="B9" s="53">
        <f>B8*D9</f>
        <v>0</v>
      </c>
      <c r="C9" s="53"/>
      <c r="D9" s="163"/>
      <c r="E9" s="305"/>
    </row>
    <row r="10" spans="1:8" ht="12.75">
      <c r="A10" s="25" t="s">
        <v>215</v>
      </c>
      <c r="B10" s="53">
        <f>B8-B9</f>
        <v>0</v>
      </c>
      <c r="C10" s="53"/>
      <c r="H10" s="162"/>
    </row>
    <row r="11" spans="1:11" ht="12.75">
      <c r="A11" s="25" t="s">
        <v>785</v>
      </c>
      <c r="B11" s="53">
        <v>0</v>
      </c>
      <c r="C11" s="304"/>
      <c r="H11" s="162">
        <v>0</v>
      </c>
      <c r="I11" s="305"/>
      <c r="J11" s="335">
        <v>0.9952967509530305</v>
      </c>
      <c r="K11" s="162">
        <f>H11/J11</f>
        <v>0</v>
      </c>
    </row>
    <row r="12" spans="1:11" ht="12.75">
      <c r="A12" s="25" t="s">
        <v>786</v>
      </c>
      <c r="B12" s="53">
        <f>B10-B11</f>
        <v>0</v>
      </c>
      <c r="C12" s="53"/>
      <c r="H12" s="162">
        <v>0</v>
      </c>
      <c r="I12" s="305"/>
      <c r="J12" s="335">
        <v>0.9952967509530305</v>
      </c>
      <c r="K12" s="162">
        <f>H12/J12</f>
        <v>0</v>
      </c>
    </row>
    <row r="13" spans="1:8" ht="7.5" customHeight="1">
      <c r="A13" s="25"/>
      <c r="B13" s="53"/>
      <c r="C13" s="53"/>
      <c r="H13" s="162"/>
    </row>
    <row r="14" spans="1:8" ht="7.5" customHeight="1">
      <c r="A14" s="25"/>
      <c r="B14" s="53"/>
      <c r="C14" s="53"/>
      <c r="H14" s="162"/>
    </row>
    <row r="15" ht="7.5" customHeight="1"/>
    <row r="16" ht="12.75">
      <c r="A16" s="25" t="s">
        <v>227</v>
      </c>
    </row>
    <row r="17" spans="1:8" ht="12.75">
      <c r="A17" s="11" t="s">
        <v>212</v>
      </c>
      <c r="B17" s="40">
        <v>352828.131</v>
      </c>
      <c r="C17" s="285" t="s">
        <v>236</v>
      </c>
      <c r="F17" s="40">
        <v>2973.7304</v>
      </c>
      <c r="G17" s="285" t="s">
        <v>236</v>
      </c>
      <c r="H17" s="162">
        <f>B17/F17</f>
        <v>118.6483250129198</v>
      </c>
    </row>
    <row r="18" spans="1:3" ht="12.75">
      <c r="A18" s="25" t="s">
        <v>262</v>
      </c>
      <c r="B18" s="40">
        <v>43033.92255828471</v>
      </c>
      <c r="C18" s="285" t="s">
        <v>236</v>
      </c>
    </row>
    <row r="19" spans="1:5" ht="12.75">
      <c r="A19" s="25" t="s">
        <v>263</v>
      </c>
      <c r="B19" s="53">
        <f>B18*D19</f>
        <v>633.8812567492447</v>
      </c>
      <c r="C19" s="53"/>
      <c r="D19" s="163">
        <v>0.014729804281511228</v>
      </c>
      <c r="E19" s="305" t="s">
        <v>239</v>
      </c>
    </row>
    <row r="20" spans="1:3" ht="12.75">
      <c r="A20" s="25" t="s">
        <v>213</v>
      </c>
      <c r="B20" s="53">
        <f>B17-B19</f>
        <v>352194.2497432507</v>
      </c>
      <c r="C20" s="53"/>
    </row>
    <row r="21" spans="1:5" ht="12.75">
      <c r="A21" s="25" t="s">
        <v>214</v>
      </c>
      <c r="B21" s="53">
        <f>B20*D21</f>
        <v>3904.6605322048295</v>
      </c>
      <c r="C21" s="53"/>
      <c r="D21" s="163">
        <v>0.011086667471292683</v>
      </c>
      <c r="E21" s="305" t="s">
        <v>240</v>
      </c>
    </row>
    <row r="22" spans="1:8" ht="12.75">
      <c r="A22" s="25" t="s">
        <v>215</v>
      </c>
      <c r="B22" s="53">
        <f>B20-B21</f>
        <v>348289.5892110459</v>
      </c>
      <c r="C22" s="53"/>
      <c r="H22" s="162"/>
    </row>
    <row r="23" spans="1:11" ht="12.75">
      <c r="A23" s="25" t="s">
        <v>785</v>
      </c>
      <c r="B23" s="53">
        <v>142789.06047166753</v>
      </c>
      <c r="C23" s="304" t="s">
        <v>238</v>
      </c>
      <c r="H23" s="162">
        <f>H24/2</f>
        <v>106.57787103941583</v>
      </c>
      <c r="I23" s="305" t="s">
        <v>241</v>
      </c>
      <c r="J23" s="335">
        <v>0.9952967509530305</v>
      </c>
      <c r="K23" s="162">
        <f>H23/J23</f>
        <v>107.08150201170042</v>
      </c>
    </row>
    <row r="24" spans="1:11" ht="12.75">
      <c r="A24" s="25" t="s">
        <v>786</v>
      </c>
      <c r="B24" s="53">
        <f>B22-B23</f>
        <v>205500.52873937835</v>
      </c>
      <c r="C24" s="53"/>
      <c r="H24" s="162">
        <f>(3*B23+B24)/F17</f>
        <v>213.15574207883165</v>
      </c>
      <c r="I24" s="305" t="s">
        <v>242</v>
      </c>
      <c r="J24" s="335">
        <v>0.9952967509530305</v>
      </c>
      <c r="K24" s="162">
        <f>H24/J24</f>
        <v>214.16300402340084</v>
      </c>
    </row>
    <row r="25" spans="1:5" ht="12.75">
      <c r="A25" s="141"/>
      <c r="B25" s="141"/>
      <c r="C25" s="141"/>
      <c r="D25" s="141"/>
      <c r="E25" s="141"/>
    </row>
    <row r="26" ht="12.75">
      <c r="A26" s="24" t="s">
        <v>235</v>
      </c>
    </row>
    <row r="27" ht="12.75">
      <c r="A27" s="25" t="s">
        <v>804</v>
      </c>
    </row>
    <row r="28" ht="12.75">
      <c r="A28" s="25" t="s">
        <v>805</v>
      </c>
    </row>
    <row r="29" spans="1:17" ht="24.75" customHeight="1">
      <c r="A29" s="611" t="s">
        <v>806</v>
      </c>
      <c r="B29" s="612"/>
      <c r="C29" s="612"/>
      <c r="D29" s="612"/>
      <c r="E29" s="612"/>
      <c r="F29" s="612"/>
      <c r="M29" s="140"/>
      <c r="N29" s="140"/>
      <c r="O29" s="140"/>
      <c r="P29" s="140"/>
      <c r="Q29" s="140"/>
    </row>
    <row r="30" spans="1:6" ht="24.75" customHeight="1">
      <c r="A30" s="611" t="s">
        <v>807</v>
      </c>
      <c r="B30" s="612"/>
      <c r="C30" s="612"/>
      <c r="D30" s="612"/>
      <c r="E30" s="612"/>
      <c r="F30" s="612"/>
    </row>
    <row r="31" spans="1:6" ht="24.75" customHeight="1">
      <c r="A31" s="611" t="s">
        <v>264</v>
      </c>
      <c r="B31" s="612"/>
      <c r="C31" s="612"/>
      <c r="D31" s="612"/>
      <c r="E31" s="612"/>
      <c r="F31" s="612"/>
    </row>
    <row r="32" spans="1:6" ht="24.75" customHeight="1">
      <c r="A32" s="611" t="s">
        <v>265</v>
      </c>
      <c r="B32" s="612"/>
      <c r="C32" s="612"/>
      <c r="D32" s="612"/>
      <c r="E32" s="612"/>
      <c r="F32" s="612"/>
    </row>
    <row r="33" ht="12.75">
      <c r="A33" s="12" t="s">
        <v>0</v>
      </c>
    </row>
    <row r="34" ht="12.75">
      <c r="A34" s="12" t="s">
        <v>1</v>
      </c>
    </row>
  </sheetData>
  <sheetProtection/>
  <mergeCells count="4">
    <mergeCell ref="A29:F29"/>
    <mergeCell ref="A30:F30"/>
    <mergeCell ref="A31:F31"/>
    <mergeCell ref="A32:F32"/>
  </mergeCells>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K22"/>
  <sheetViews>
    <sheetView zoomScale="70" zoomScaleNormal="70" zoomScalePageLayoutView="0" workbookViewId="0" topLeftCell="A1">
      <selection activeCell="A1" sqref="A1"/>
    </sheetView>
  </sheetViews>
  <sheetFormatPr defaultColWidth="9.140625" defaultRowHeight="12.75"/>
  <cols>
    <col min="1" max="1" width="12.421875" style="0" customWidth="1"/>
    <col min="2" max="2" width="15.8515625" style="0" customWidth="1"/>
    <col min="3" max="5" width="11.7109375" style="0" customWidth="1"/>
    <col min="6" max="6" width="3.7109375" style="0" customWidth="1"/>
    <col min="7" max="7" width="11.7109375" style="0" customWidth="1"/>
    <col min="8" max="8" width="3.7109375" style="0" customWidth="1"/>
    <col min="9" max="10" width="11.7109375" style="0" customWidth="1"/>
  </cols>
  <sheetData>
    <row r="1" spans="1:2" ht="15.75">
      <c r="A1" s="443" t="s">
        <v>54</v>
      </c>
      <c r="B1" s="158"/>
    </row>
    <row r="2" spans="1:2" ht="15.75">
      <c r="A2" s="158" t="s">
        <v>787</v>
      </c>
      <c r="B2" s="443"/>
    </row>
    <row r="3" spans="1:11" ht="25.5">
      <c r="A3" s="445" t="s">
        <v>399</v>
      </c>
      <c r="B3" s="444" t="s">
        <v>348</v>
      </c>
      <c r="C3" s="168" t="s">
        <v>250</v>
      </c>
      <c r="D3" s="189" t="s">
        <v>249</v>
      </c>
      <c r="E3" s="8" t="s">
        <v>104</v>
      </c>
      <c r="F3" s="8"/>
      <c r="G3" s="199" t="s">
        <v>246</v>
      </c>
      <c r="H3" s="87"/>
      <c r="I3" s="160" t="s">
        <v>218</v>
      </c>
      <c r="J3" s="41" t="s">
        <v>133</v>
      </c>
      <c r="K3" s="11"/>
    </row>
    <row r="4" spans="1:10" ht="12.75">
      <c r="A4" s="12" t="s">
        <v>2</v>
      </c>
      <c r="B4" t="s">
        <v>278</v>
      </c>
      <c r="C4" s="6">
        <f>SUM('Table 3.24-CIOSS Detail'!E4,'Table 3.24-CIOSS Detail'!E19)</f>
        <v>759059.9698344999</v>
      </c>
      <c r="D4" s="42">
        <f>SUM('Table 3.24-CIOSS Detail'!F4,'Table 3.24-CIOSS Detail'!F19)</f>
        <v>15453.17865370212</v>
      </c>
      <c r="E4" s="83">
        <f>IF(ISERROR(D4/C4),"n/a",D4/C4)</f>
        <v>0.02035831063133447</v>
      </c>
      <c r="G4" s="29">
        <v>2.129429514370343</v>
      </c>
      <c r="I4" s="42">
        <f>D4*G4</f>
        <v>32906.454716031054</v>
      </c>
      <c r="J4" s="83">
        <f>IF(ISERROR(I4/C4),"n/a",I4/C4)</f>
        <v>0.043351587521083146</v>
      </c>
    </row>
    <row r="5" spans="2:10" ht="12.75">
      <c r="B5" s="12" t="s">
        <v>431</v>
      </c>
      <c r="C5" s="6">
        <f>SUM('Table 3.24-CIOSS Detail'!E5,'Table 3.24-CIOSS Detail'!E12,'Table 3.24-CIOSS Detail'!E20,'Table 3.24-CIOSS Detail'!E27,'Table 3.24-CIOSS Detail'!E34)</f>
        <v>1244926.7320361075</v>
      </c>
      <c r="D5" s="42">
        <f>SUM('Table 3.24-CIOSS Detail'!F5,'Table 3.24-CIOSS Detail'!F12,'Table 3.24-CIOSS Detail'!F20,'Table 3.24-CIOSS Detail'!F27,'Table 3.24-CIOSS Detail'!F34)</f>
        <v>-5021.125085749572</v>
      </c>
      <c r="E5" s="83">
        <f>IF(ISERROR(D5/C5),"n/a",D5/C5)</f>
        <v>-0.004033269554375623</v>
      </c>
      <c r="G5" s="29">
        <v>2.129429514370343</v>
      </c>
      <c r="I5" s="42">
        <f>D5*G5</f>
        <v>-10692.131952940455</v>
      </c>
      <c r="J5" s="83">
        <f>IF(ISERROR(I5/C5),"n/a",I5/C5)</f>
        <v>-0.00858856322849877</v>
      </c>
    </row>
    <row r="6" spans="2:10" ht="12.75">
      <c r="B6" t="s">
        <v>279</v>
      </c>
      <c r="C6" s="6">
        <f>SUM('Table 3.24-CIOSS Detail'!E6,'Table 3.24-CIOSS Detail'!E13,'Table 3.24-CIOSS Detail'!E21,'Table 3.24-CIOSS Detail'!E28)</f>
        <v>606777.4904637919</v>
      </c>
      <c r="D6" s="42">
        <f>SUM('Table 3.24-CIOSS Detail'!F6,'Table 3.24-CIOSS Detail'!F13,'Table 3.24-CIOSS Detail'!F21,'Table 3.24-CIOSS Detail'!F28)</f>
        <v>13494.747441283973</v>
      </c>
      <c r="E6" s="83">
        <f>IF(ISERROR(D6/C6),"n/a",D6/C6)</f>
        <v>0.02224002645676462</v>
      </c>
      <c r="G6" s="29">
        <v>2.129429514370343</v>
      </c>
      <c r="I6" s="42">
        <f>D6*G6</f>
        <v>28736.113490443757</v>
      </c>
      <c r="J6" s="83">
        <f>IF(ISERROR(I6/C6),"n/a",I6/C6)</f>
        <v>0.04735856873741186</v>
      </c>
    </row>
    <row r="7" spans="3:4" ht="12.75">
      <c r="C7" s="6"/>
      <c r="D7" s="42"/>
    </row>
    <row r="8" spans="1:10" ht="12.75">
      <c r="A8" s="12" t="s">
        <v>3</v>
      </c>
      <c r="B8" t="s">
        <v>278</v>
      </c>
      <c r="C8" s="6">
        <f>SUM('Table 3.24-CIOSS Detail'!E8,'Table 3.24-CIOSS Detail'!E23)</f>
        <v>122003.07016550006</v>
      </c>
      <c r="D8" s="42">
        <f>SUM('Table 3.24-CIOSS Detail'!F8,'Table 3.24-CIOSS Detail'!F23)</f>
        <v>2483.776400405745</v>
      </c>
      <c r="E8" s="83">
        <f>IF(ISERROR(D8/C8),"n/a",D8/C8)</f>
        <v>0.02035831063133447</v>
      </c>
      <c r="G8" s="29">
        <v>2.129429514370343</v>
      </c>
      <c r="I8" s="42">
        <f>D8*G8</f>
        <v>5289.026774120523</v>
      </c>
      <c r="J8" s="83">
        <f>IF(ISERROR(I8/C8),"n/a",I8/C8)</f>
        <v>0.043351587521083146</v>
      </c>
    </row>
    <row r="9" spans="2:10" ht="12.75">
      <c r="B9" s="12" t="s">
        <v>373</v>
      </c>
      <c r="C9" s="6">
        <f>SUM('Table 3.24-CIOSS Detail'!E9,'Table 3.24-CIOSS Detail'!E24)</f>
        <v>4698.320982867995</v>
      </c>
      <c r="D9" s="42">
        <f>SUM('Table 3.24-CIOSS Detail'!F9,'Table 3.24-CIOSS Detail'!F24)</f>
        <v>95.64987801494331</v>
      </c>
      <c r="E9" s="83">
        <f>IF(ISERROR(D9/C9),"n/a",D9/C9)</f>
        <v>0.02035831063133447</v>
      </c>
      <c r="G9" s="29">
        <v>2.129429514370343</v>
      </c>
      <c r="I9" s="42">
        <f>D9*G9</f>
        <v>203.67967329094327</v>
      </c>
      <c r="J9" s="83">
        <f>IF(ISERROR(I9/C9),"n/a",I9/C9)</f>
        <v>0.043351587521083146</v>
      </c>
    </row>
    <row r="10" spans="2:10" ht="12.75">
      <c r="B10" t="s">
        <v>279</v>
      </c>
      <c r="C10" s="6">
        <f>SUM('Table 3.24-CIOSS Detail'!E10,'Table 3.24-CIOSS Detail'!E25)</f>
        <v>74868.77817786208</v>
      </c>
      <c r="D10" s="42">
        <f>SUM('Table 3.24-CIOSS Detail'!F10,'Table 3.24-CIOSS Detail'!F25)</f>
        <v>1524.2018427333917</v>
      </c>
      <c r="E10" s="83">
        <f>IF(ISERROR(D10/C10),"n/a",D10/C10)</f>
        <v>0.02035831063133447</v>
      </c>
      <c r="G10" s="29">
        <v>2.129429514370343</v>
      </c>
      <c r="I10" s="42">
        <f>D10*G10</f>
        <v>3245.680389774148</v>
      </c>
      <c r="J10" s="83">
        <f>IF(ISERROR(I10/C10),"n/a",I10/C10)</f>
        <v>0.043351587521083146</v>
      </c>
    </row>
    <row r="11" spans="3:4" ht="12.75">
      <c r="C11" s="6"/>
      <c r="D11" s="42"/>
    </row>
    <row r="12" spans="1:10" ht="12.75">
      <c r="A12" s="12" t="s">
        <v>4</v>
      </c>
      <c r="B12" s="12" t="s">
        <v>373</v>
      </c>
      <c r="C12" s="6">
        <f>SUM('Table 3.24-CIOSS Detail'!E15,'Table 3.24-CIOSS Detail'!E30,'Table 3.24-CIOSS Detail'!E36)</f>
        <v>97584.29598102474</v>
      </c>
      <c r="D12" s="42">
        <f>SUM('Table 3.24-CIOSS Detail'!F15,'Table 3.24-CIOSS Detail'!F30,'Table 3.24-CIOSS Detail'!F36)</f>
        <v>1144.1432651347689</v>
      </c>
      <c r="E12" s="83">
        <f>IF(ISERROR(D12/C12),"n/a",D12/C12)</f>
        <v>0.011724665876128752</v>
      </c>
      <c r="G12" s="29">
        <v>2.129429514370343</v>
      </c>
      <c r="I12" s="42">
        <f>D12*G12</f>
        <v>2436.3724374460294</v>
      </c>
      <c r="J12" s="83">
        <f>IF(ISERROR(I12/C12),"n/a",I12/C12)</f>
        <v>0.02496684956275938</v>
      </c>
    </row>
    <row r="13" spans="1:10" ht="12.75">
      <c r="A13" s="283"/>
      <c r="B13" s="325" t="s">
        <v>279</v>
      </c>
      <c r="C13" s="10">
        <f>SUM('Table 3.24-CIOSS Detail'!E16,'Table 3.24-CIOSS Detail'!E31,'Table 3.24-CIOSS Detail'!E37)</f>
        <v>182006.60735834602</v>
      </c>
      <c r="D13" s="174">
        <f>SUM('Table 3.24-CIOSS Detail'!F16,'Table 3.24-CIOSS Detail'!F31,'Table 3.24-CIOSS Detail'!F37)</f>
        <v>2231.2771989588114</v>
      </c>
      <c r="E13" s="172">
        <f>IF(ISERROR(D13/C13),"n/a",D13/C13)</f>
        <v>0.012259319765055194</v>
      </c>
      <c r="F13" s="283"/>
      <c r="G13" s="446">
        <v>2.129429514370343</v>
      </c>
      <c r="H13" s="283"/>
      <c r="I13" s="174">
        <f>D13*G13</f>
        <v>4751.347522204481</v>
      </c>
      <c r="J13" s="172">
        <f>IF(ISERROR(I13/C13),"n/a",I13/C13)</f>
        <v>0.026105357333812227</v>
      </c>
    </row>
    <row r="14" spans="2:10" ht="12.75">
      <c r="B14" s="14" t="s">
        <v>102</v>
      </c>
      <c r="C14" s="6">
        <f>SUM(C4:C13)</f>
        <v>3091925.265</v>
      </c>
      <c r="D14" s="42">
        <f>SUM(D4:D13)</f>
        <v>31405.849594484185</v>
      </c>
      <c r="E14" s="83">
        <f>IF(ISERROR(D14/C14),"n/a",D14/C14)</f>
        <v>0.01015737668370978</v>
      </c>
      <c r="I14" s="42">
        <f>SUM(I4:I13)</f>
        <v>66876.54305037048</v>
      </c>
      <c r="J14" s="83">
        <f>IF(ISERROR(I14/C14),"n/a",I14/C14)</f>
        <v>0.02162941769886876</v>
      </c>
    </row>
    <row r="15" spans="2:10" ht="12.75" hidden="1">
      <c r="B15" s="14"/>
      <c r="C15" s="6"/>
      <c r="D15" s="42"/>
      <c r="E15" s="83"/>
      <c r="I15" s="42"/>
      <c r="J15" s="83"/>
    </row>
    <row r="16" spans="2:10" ht="12.75" hidden="1">
      <c r="B16" s="14" t="s">
        <v>191</v>
      </c>
      <c r="C16" s="143">
        <f>C14-'Table 3.24-CIOSS Detail'!E40</f>
        <v>0</v>
      </c>
      <c r="D16" s="143">
        <f>D14-'Table 3.24-CIOSS Detail'!F40</f>
        <v>0</v>
      </c>
      <c r="E16" s="83"/>
      <c r="H16" s="14" t="s">
        <v>191</v>
      </c>
      <c r="I16" s="143">
        <f>I14-'Table 3.24-CIOSS Detail'!K40</f>
        <v>0</v>
      </c>
      <c r="J16" s="143">
        <f>J14-'Table 3.24-CIOSS Detail'!L40</f>
        <v>0</v>
      </c>
    </row>
    <row r="17" spans="1:10" ht="12.75">
      <c r="A17" s="283"/>
      <c r="B17" s="293"/>
      <c r="C17" s="6"/>
      <c r="D17" s="42"/>
      <c r="E17" s="83"/>
      <c r="I17" s="42"/>
      <c r="J17" s="83"/>
    </row>
    <row r="18" spans="1:3" ht="12.75">
      <c r="A18" s="11" t="s">
        <v>235</v>
      </c>
      <c r="B18" s="64"/>
      <c r="C18" s="64"/>
    </row>
    <row r="19" spans="1:3" ht="12.75">
      <c r="A19" s="25" t="s">
        <v>654</v>
      </c>
      <c r="B19" s="64"/>
      <c r="C19" s="64"/>
    </row>
    <row r="20" ht="12.75">
      <c r="A20" s="25" t="s">
        <v>795</v>
      </c>
    </row>
    <row r="21" ht="12.75">
      <c r="A21" s="12" t="s">
        <v>21</v>
      </c>
    </row>
    <row r="22" ht="12.75">
      <c r="A22" s="12" t="s">
        <v>5</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M57"/>
  <sheetViews>
    <sheetView zoomScale="70" zoomScaleNormal="70" zoomScalePageLayoutView="0" workbookViewId="0" topLeftCell="A1">
      <selection activeCell="A1" sqref="A1"/>
    </sheetView>
  </sheetViews>
  <sheetFormatPr defaultColWidth="9.140625" defaultRowHeight="12.75"/>
  <cols>
    <col min="1" max="1" width="27.140625" style="0" customWidth="1"/>
    <col min="2" max="2" width="9.7109375" style="0" customWidth="1"/>
    <col min="3" max="3" width="25.7109375" style="0" customWidth="1"/>
    <col min="4" max="4" width="15.8515625" style="0" customWidth="1"/>
    <col min="5" max="7" width="11.7109375" style="0" customWidth="1"/>
    <col min="8" max="8" width="3.7109375" style="0" customWidth="1"/>
    <col min="9" max="9" width="11.7109375" style="0" customWidth="1"/>
    <col min="10" max="10" width="3.7109375" style="0" customWidth="1"/>
    <col min="11" max="12" width="11.7109375" style="0" customWidth="1"/>
  </cols>
  <sheetData>
    <row r="1" spans="1:4" ht="15.75">
      <c r="A1" s="158" t="s">
        <v>563</v>
      </c>
      <c r="B1" s="158"/>
      <c r="C1" s="158"/>
      <c r="D1" s="158"/>
    </row>
    <row r="2" spans="1:4" ht="15.75">
      <c r="A2" s="158" t="s">
        <v>787</v>
      </c>
      <c r="B2" s="443"/>
      <c r="C2" s="443"/>
      <c r="D2" s="443"/>
    </row>
    <row r="3" spans="1:13" ht="25.5">
      <c r="A3" s="444" t="s">
        <v>396</v>
      </c>
      <c r="B3" s="445" t="s">
        <v>399</v>
      </c>
      <c r="C3" s="444" t="s">
        <v>397</v>
      </c>
      <c r="D3" s="444" t="s">
        <v>348</v>
      </c>
      <c r="E3" s="168" t="s">
        <v>402</v>
      </c>
      <c r="F3" s="189" t="s">
        <v>403</v>
      </c>
      <c r="G3" s="8" t="s">
        <v>104</v>
      </c>
      <c r="H3" s="8"/>
      <c r="I3" s="199" t="s">
        <v>404</v>
      </c>
      <c r="J3" s="87"/>
      <c r="K3" s="160" t="s">
        <v>218</v>
      </c>
      <c r="L3" s="41" t="s">
        <v>133</v>
      </c>
      <c r="M3" s="11"/>
    </row>
    <row r="4" spans="1:12" ht="12.75">
      <c r="A4" s="25" t="s">
        <v>410</v>
      </c>
      <c r="B4" t="s">
        <v>407</v>
      </c>
      <c r="C4" t="s">
        <v>398</v>
      </c>
      <c r="D4" t="s">
        <v>278</v>
      </c>
      <c r="E4" s="6">
        <v>493388.9803924249</v>
      </c>
      <c r="F4" s="42">
        <v>10995.27262659996</v>
      </c>
      <c r="G4" s="83">
        <f>IF(ISERROR(F4/E4),"n/a",F4/E4)</f>
        <v>0.02228520105547289</v>
      </c>
      <c r="I4" s="29">
        <v>2.129429514370343</v>
      </c>
      <c r="K4" s="42">
        <f>F4*I4</f>
        <v>23413.658049630278</v>
      </c>
      <c r="L4" s="83">
        <f>IF(ISERROR(K4/E4),"n/a",K4/E4)</f>
        <v>0.047454764861201086</v>
      </c>
    </row>
    <row r="5" spans="4:12" ht="12.75">
      <c r="D5" t="s">
        <v>373</v>
      </c>
      <c r="E5" s="6">
        <v>157302.13102490283</v>
      </c>
      <c r="F5" s="42">
        <v>3505.5096163442986</v>
      </c>
      <c r="G5" s="83">
        <f>IF(ISERROR(F5/E5),"n/a",F5/E5)</f>
        <v>0.022285201055472884</v>
      </c>
      <c r="I5" s="29">
        <v>2.129429514370343</v>
      </c>
      <c r="K5" s="42">
        <f>F5*I5</f>
        <v>7464.735639952606</v>
      </c>
      <c r="L5" s="83">
        <f>IF(ISERROR(K5/E5),"n/a",K5/E5)</f>
        <v>0.04745476486120107</v>
      </c>
    </row>
    <row r="6" spans="4:12" ht="12.75">
      <c r="D6" t="s">
        <v>279</v>
      </c>
      <c r="E6" s="6">
        <v>9246.558102524861</v>
      </c>
      <c r="F6" s="42">
        <v>206.06140638587846</v>
      </c>
      <c r="G6" s="83">
        <f>IF(ISERROR(F6/E6),"n/a",F6/E6)</f>
        <v>0.02228520105547289</v>
      </c>
      <c r="I6" s="29">
        <v>2.129429514370343</v>
      </c>
      <c r="K6" s="42">
        <f>F6*I6</f>
        <v>438.793240530751</v>
      </c>
      <c r="L6" s="83">
        <f>IF(ISERROR(K6/E6),"n/a",K6/E6)</f>
        <v>0.04745476486120109</v>
      </c>
    </row>
    <row r="7" spans="5:6" ht="12.75">
      <c r="E7" s="6"/>
      <c r="F7" s="6"/>
    </row>
    <row r="8" spans="2:12" ht="12.75">
      <c r="B8" s="12" t="s">
        <v>476</v>
      </c>
      <c r="C8" t="s">
        <v>398</v>
      </c>
      <c r="D8" t="s">
        <v>278</v>
      </c>
      <c r="E8" s="6">
        <v>79301.99560757504</v>
      </c>
      <c r="F8" s="42">
        <v>1767.2609162150377</v>
      </c>
      <c r="G8" s="83">
        <f>IF(ISERROR(F8/E8),"n/a",F8/E8)</f>
        <v>0.02228520105547289</v>
      </c>
      <c r="I8" s="29">
        <v>2.129429514370343</v>
      </c>
      <c r="K8" s="42">
        <f>F8*I8</f>
        <v>3763.257554581475</v>
      </c>
      <c r="L8" s="83">
        <f>IF(ISERROR(K8/E8),"n/a",K8/E8)</f>
        <v>0.047454764861201086</v>
      </c>
    </row>
    <row r="9" spans="4:12" ht="12.75">
      <c r="D9" t="s">
        <v>373</v>
      </c>
      <c r="E9" s="6">
        <v>3053.9086388641967</v>
      </c>
      <c r="F9" s="42">
        <v>68.05696802213417</v>
      </c>
      <c r="G9" s="83">
        <f>IF(ISERROR(F9/E9),"n/a",F9/E9)</f>
        <v>0.022285201055472888</v>
      </c>
      <c r="I9" s="29">
        <v>2.129429514370343</v>
      </c>
      <c r="K9" s="42">
        <f>F9*I9</f>
        <v>144.92251636489112</v>
      </c>
      <c r="L9" s="83">
        <f>IF(ISERROR(K9/E9),"n/a",K9/E9)</f>
        <v>0.047454764861201086</v>
      </c>
    </row>
    <row r="10" spans="4:12" ht="12.75">
      <c r="D10" t="s">
        <v>279</v>
      </c>
      <c r="E10" s="6">
        <v>48664.70581561036</v>
      </c>
      <c r="F10" s="42">
        <v>1084.5027534063174</v>
      </c>
      <c r="G10" s="83">
        <f>IF(ISERROR(F10/E10),"n/a",F10/E10)</f>
        <v>0.022285201055472884</v>
      </c>
      <c r="I10" s="29">
        <v>2.129429514370343</v>
      </c>
      <c r="K10" s="42">
        <f>F10*I10</f>
        <v>2309.372171519314</v>
      </c>
      <c r="L10" s="83">
        <f>IF(ISERROR(K10/E10),"n/a",K10/E10)</f>
        <v>0.04745476486120108</v>
      </c>
    </row>
    <row r="11" spans="5:6" ht="12.75">
      <c r="E11" s="6"/>
      <c r="F11" s="27"/>
    </row>
    <row r="12" spans="2:12" ht="12.75">
      <c r="B12" t="s">
        <v>407</v>
      </c>
      <c r="C12" s="12" t="s">
        <v>6</v>
      </c>
      <c r="D12" t="s">
        <v>373</v>
      </c>
      <c r="E12" s="6">
        <v>17772.625629194474</v>
      </c>
      <c r="F12" s="42">
        <v>396.0665354302491</v>
      </c>
      <c r="G12" s="83">
        <f>IF(ISERROR(F12/E12),"n/a",F12/E12)</f>
        <v>0.02228520105547288</v>
      </c>
      <c r="I12" s="29">
        <v>2.129429514370343</v>
      </c>
      <c r="K12" s="42">
        <f>F12*I12</f>
        <v>843.3957701995795</v>
      </c>
      <c r="L12" s="83">
        <f>IF(ISERROR(K12/E12),"n/a",K12/E12)</f>
        <v>0.04745476486120107</v>
      </c>
    </row>
    <row r="13" spans="3:12" ht="12.75">
      <c r="C13" s="12" t="s">
        <v>655</v>
      </c>
      <c r="D13" t="s">
        <v>279</v>
      </c>
      <c r="E13" s="6">
        <v>592552.0164599075</v>
      </c>
      <c r="F13" s="42">
        <v>13205.14082263492</v>
      </c>
      <c r="G13" s="83">
        <f>IF(ISERROR(F13/E13),"n/a",F13/E13)</f>
        <v>0.022285201055472888</v>
      </c>
      <c r="I13" s="29">
        <v>2.129429514370343</v>
      </c>
      <c r="K13" s="42">
        <f>F13*I13</f>
        <v>28119.416609135464</v>
      </c>
      <c r="L13" s="83">
        <f>IF(ISERROR(K13/E13),"n/a",K13/E13)</f>
        <v>0.04745476486120108</v>
      </c>
    </row>
    <row r="14" ht="12.75">
      <c r="E14" s="6"/>
    </row>
    <row r="15" spans="2:12" ht="12.75">
      <c r="B15" t="s">
        <v>400</v>
      </c>
      <c r="C15" s="12" t="s">
        <v>6</v>
      </c>
      <c r="D15" t="s">
        <v>373</v>
      </c>
      <c r="E15" s="6">
        <v>2574.3508301829193</v>
      </c>
      <c r="F15" s="42">
        <v>57.36992583794989</v>
      </c>
      <c r="G15" s="83">
        <f>IF(ISERROR(F15/E15),"n/a",F15/E15)</f>
        <v>0.022285201055472888</v>
      </c>
      <c r="I15" s="29">
        <v>2.129429514370343</v>
      </c>
      <c r="K15" s="42">
        <f>F15*I15</f>
        <v>122.16521331656823</v>
      </c>
      <c r="L15" s="83">
        <f>IF(ISERROR(K15/E15),"n/a",K15/E15)</f>
        <v>0.04745476486120108</v>
      </c>
    </row>
    <row r="16" spans="2:12" ht="12.75">
      <c r="B16" s="283"/>
      <c r="C16" s="325" t="s">
        <v>6</v>
      </c>
      <c r="D16" s="283" t="s">
        <v>279</v>
      </c>
      <c r="E16" s="10">
        <v>11830.342979425972</v>
      </c>
      <c r="F16" s="174">
        <v>263.64157185170995</v>
      </c>
      <c r="G16" s="172">
        <f>IF(ISERROR(F16/E16),"n/a",F16/E16)</f>
        <v>0.022285201055472888</v>
      </c>
      <c r="H16" s="283"/>
      <c r="I16" s="446">
        <v>2.129429514370343</v>
      </c>
      <c r="J16" s="283"/>
      <c r="K16" s="174">
        <f>F16*I16</f>
        <v>561.4061443160206</v>
      </c>
      <c r="L16" s="172">
        <f>IF(ISERROR(K16/E16),"n/a",K16/E16)</f>
        <v>0.047454764861201086</v>
      </c>
    </row>
    <row r="17" spans="4:12" ht="12.75">
      <c r="D17" s="447" t="s">
        <v>406</v>
      </c>
      <c r="E17" s="6">
        <f>SUM(E4:E16)</f>
        <v>1415687.615480613</v>
      </c>
      <c r="F17" s="42">
        <f>SUM(F4:F16)</f>
        <v>31548.883142728457</v>
      </c>
      <c r="G17" s="83">
        <f>IF(ISERROR(F17/E17),"n/a",F17/E17)</f>
        <v>0.02228520105547289</v>
      </c>
      <c r="K17" s="42">
        <f>SUM(K4:K16)</f>
        <v>67181.12290954695</v>
      </c>
      <c r="L17" s="83">
        <f>IF(ISERROR(K17/E17),"n/a",K17/E17)</f>
        <v>0.047454764861201086</v>
      </c>
    </row>
    <row r="19" spans="1:12" ht="12.75">
      <c r="A19" s="25" t="s">
        <v>411</v>
      </c>
      <c r="B19" t="s">
        <v>407</v>
      </c>
      <c r="C19" t="s">
        <v>398</v>
      </c>
      <c r="D19" t="s">
        <v>278</v>
      </c>
      <c r="E19" s="6">
        <v>265670.98944207496</v>
      </c>
      <c r="F19" s="42">
        <v>4457.906027102159</v>
      </c>
      <c r="G19" s="83">
        <f>IF(ISERROR(F19/E19),"n/a",F19/E19)</f>
        <v>0.01677979984364883</v>
      </c>
      <c r="I19" s="29">
        <v>2.129429514370343</v>
      </c>
      <c r="K19" s="42">
        <f>F19*I19</f>
        <v>9492.796666400774</v>
      </c>
      <c r="L19" s="83">
        <f>IF(ISERROR(K19/E19),"n/a",K19/E19)</f>
        <v>0.03573140103229268</v>
      </c>
    </row>
    <row r="20" spans="4:12" ht="12.75">
      <c r="D20" t="s">
        <v>373</v>
      </c>
      <c r="E20" s="6">
        <v>84701.14747494765</v>
      </c>
      <c r="F20" s="42">
        <v>1421.268301157003</v>
      </c>
      <c r="G20" s="83">
        <f>IF(ISERROR(F20/E20),"n/a",F20/E20)</f>
        <v>0.01677979984364883</v>
      </c>
      <c r="I20" s="29">
        <v>2.129429514370343</v>
      </c>
      <c r="K20" s="42">
        <f>F20*I20</f>
        <v>3026.490668322719</v>
      </c>
      <c r="L20" s="83">
        <f>IF(ISERROR(K20/E20),"n/a",K20/E20)</f>
        <v>0.035731401032292685</v>
      </c>
    </row>
    <row r="21" spans="4:12" ht="12.75">
      <c r="D21" t="s">
        <v>279</v>
      </c>
      <c r="E21" s="6">
        <v>4978.915901359542</v>
      </c>
      <c r="F21" s="42">
        <v>83.54521226317351</v>
      </c>
      <c r="G21" s="83">
        <f>IF(ISERROR(F21/E21),"n/a",F21/E21)</f>
        <v>0.01677979984364883</v>
      </c>
      <c r="I21" s="29">
        <v>2.129429514370343</v>
      </c>
      <c r="K21" s="42">
        <f>F21*I21</f>
        <v>177.90364077753676</v>
      </c>
      <c r="L21" s="83">
        <f>IF(ISERROR(K21/E21),"n/a",K21/E21)</f>
        <v>0.03573140103229268</v>
      </c>
    </row>
    <row r="22" spans="5:6" ht="12.75">
      <c r="E22" s="6"/>
      <c r="F22" s="6"/>
    </row>
    <row r="23" spans="2:12" ht="12.75">
      <c r="B23" s="12" t="s">
        <v>476</v>
      </c>
      <c r="C23" t="s">
        <v>398</v>
      </c>
      <c r="D23" t="s">
        <v>278</v>
      </c>
      <c r="E23" s="6">
        <v>42701.07455792502</v>
      </c>
      <c r="F23" s="42">
        <v>716.5154841907073</v>
      </c>
      <c r="G23" s="83">
        <f>IF(ISERROR(F23/E23),"n/a",F23/E23)</f>
        <v>0.01677979984364883</v>
      </c>
      <c r="I23" s="29">
        <v>2.129429514370343</v>
      </c>
      <c r="K23" s="42">
        <f>F23*I23</f>
        <v>1525.769219539049</v>
      </c>
      <c r="L23" s="83">
        <f>IF(ISERROR(K23/E23),"n/a",K23/E23)</f>
        <v>0.035731401032292685</v>
      </c>
    </row>
    <row r="24" spans="4:12" ht="12.75">
      <c r="D24" t="s">
        <v>373</v>
      </c>
      <c r="E24" s="6">
        <v>1644.4123440037977</v>
      </c>
      <c r="F24" s="42">
        <v>27.592909992809133</v>
      </c>
      <c r="G24" s="83">
        <f>IF(ISERROR(F24/E24),"n/a",F24/E24)</f>
        <v>0.016779799843648833</v>
      </c>
      <c r="I24" s="29">
        <v>2.129429514370343</v>
      </c>
      <c r="K24" s="42">
        <f>F24*I24</f>
        <v>58.75715692605213</v>
      </c>
      <c r="L24" s="83">
        <f>IF(ISERROR(K24/E24),"n/a",K24/E24)</f>
        <v>0.035731401032292685</v>
      </c>
    </row>
    <row r="25" spans="4:12" ht="12.75">
      <c r="D25" t="s">
        <v>279</v>
      </c>
      <c r="E25" s="6">
        <v>26204.072362251733</v>
      </c>
      <c r="F25" s="42">
        <v>439.69908932707426</v>
      </c>
      <c r="G25" s="83">
        <f>IF(ISERROR(F25/E25),"n/a",F25/E25)</f>
        <v>0.01677979984364883</v>
      </c>
      <c r="I25" s="29">
        <v>2.129429514370343</v>
      </c>
      <c r="K25" s="42">
        <f>F25*I25</f>
        <v>936.3082182548337</v>
      </c>
      <c r="L25" s="83">
        <f>IF(ISERROR(K25/E25),"n/a",K25/E25)</f>
        <v>0.035731401032292685</v>
      </c>
    </row>
    <row r="26" spans="5:6" ht="12.75">
      <c r="E26" s="6"/>
      <c r="F26" s="27"/>
    </row>
    <row r="27" spans="2:12" ht="12.75">
      <c r="B27" t="s">
        <v>407</v>
      </c>
      <c r="C27" s="12" t="s">
        <v>6</v>
      </c>
      <c r="D27" s="12" t="s">
        <v>433</v>
      </c>
      <c r="E27" s="6">
        <v>9569.875338797021</v>
      </c>
      <c r="F27" s="42">
        <v>-49.114299155996584</v>
      </c>
      <c r="G27" s="83">
        <f>IF(ISERROR(F27/E27),"n/a",F27/E27)</f>
        <v>-0.005132177527630207</v>
      </c>
      <c r="I27" s="29">
        <v>2.129429514370343</v>
      </c>
      <c r="K27" s="42">
        <f>F27*I27</f>
        <v>-104.58543820039354</v>
      </c>
      <c r="L27" s="83">
        <f>IF(ISERROR(K27/E27),"n/a",K27/E27)</f>
        <v>-0.010928610300323978</v>
      </c>
    </row>
    <row r="28" spans="3:12" ht="12.75">
      <c r="C28" s="12" t="s">
        <v>655</v>
      </c>
      <c r="D28" t="s">
        <v>279</v>
      </c>
      <c r="E28" s="6">
        <v>0</v>
      </c>
      <c r="F28" s="42">
        <v>0</v>
      </c>
      <c r="G28" s="83" t="str">
        <f>IF(ISERROR(F28/E28),"n/a",F28/E28)</f>
        <v>n/a</v>
      </c>
      <c r="I28" s="29">
        <v>2.129429514370343</v>
      </c>
      <c r="K28" s="42">
        <f>F28*I28</f>
        <v>0</v>
      </c>
      <c r="L28" s="83" t="str">
        <f>IF(ISERROR(K28/E28),"n/a",K28/E28)</f>
        <v>n/a</v>
      </c>
    </row>
    <row r="29" ht="12.75">
      <c r="E29" s="6"/>
    </row>
    <row r="30" spans="2:12" ht="12.75">
      <c r="B30" t="s">
        <v>400</v>
      </c>
      <c r="C30" s="12" t="s">
        <v>6</v>
      </c>
      <c r="D30" t="s">
        <v>373</v>
      </c>
      <c r="E30" s="6">
        <v>1386.1889085600335</v>
      </c>
      <c r="F30" s="42">
        <v>23.25997243112339</v>
      </c>
      <c r="G30" s="83">
        <f>IF(ISERROR(F30/E30),"n/a",F30/E30)</f>
        <v>0.01677979984364883</v>
      </c>
      <c r="I30" s="29">
        <v>2.129429514370343</v>
      </c>
      <c r="K30" s="42">
        <f>F30*I30</f>
        <v>49.53047179827464</v>
      </c>
      <c r="L30" s="83">
        <f>IF(ISERROR(K30/E30),"n/a",K30/E30)</f>
        <v>0.03573140103229268</v>
      </c>
    </row>
    <row r="31" spans="2:12" ht="12.75">
      <c r="B31" s="283"/>
      <c r="C31" s="325" t="s">
        <v>6</v>
      </c>
      <c r="D31" s="283" t="s">
        <v>279</v>
      </c>
      <c r="E31" s="10">
        <v>6370.184681229369</v>
      </c>
      <c r="F31" s="174">
        <v>106.89042391810673</v>
      </c>
      <c r="G31" s="172">
        <f>IF(ISERROR(F31/E31),"n/a",F31/E31)</f>
        <v>0.01677979984364883</v>
      </c>
      <c r="H31" s="283"/>
      <c r="I31" s="446">
        <v>2.129429514370343</v>
      </c>
      <c r="J31" s="283"/>
      <c r="K31" s="174">
        <f>F31*I31</f>
        <v>227.6156234947741</v>
      </c>
      <c r="L31" s="172">
        <f>IF(ISERROR(K31/E31),"n/a",K31/E31)</f>
        <v>0.035731401032292685</v>
      </c>
    </row>
    <row r="32" spans="4:12" ht="12.75">
      <c r="D32" s="447" t="s">
        <v>405</v>
      </c>
      <c r="E32" s="6">
        <f>SUM(E19:E31)</f>
        <v>443226.8610111491</v>
      </c>
      <c r="F32" s="42">
        <f>SUM(F19:F31)</f>
        <v>7227.563121226158</v>
      </c>
      <c r="G32" s="83">
        <f>IF(ISERROR(F32/E32),"n/a",F32/E32)</f>
        <v>0.01630669022346178</v>
      </c>
      <c r="K32" s="42">
        <f>SUM(K19:K31)</f>
        <v>15390.586227313619</v>
      </c>
      <c r="L32" s="83">
        <f>IF(ISERROR(K32/E32),"n/a",K32/E32)</f>
        <v>0.03472394744353384</v>
      </c>
    </row>
    <row r="34" spans="1:12" ht="12.75">
      <c r="A34" s="25" t="s">
        <v>412</v>
      </c>
      <c r="B34" t="s">
        <v>407</v>
      </c>
      <c r="C34" s="12" t="s">
        <v>409</v>
      </c>
      <c r="D34" s="12" t="s">
        <v>433</v>
      </c>
      <c r="E34" s="6">
        <v>975580.9525682655</v>
      </c>
      <c r="F34" s="42">
        <v>-10294.855239525126</v>
      </c>
      <c r="G34" s="83">
        <f>IF(ISERROR(F34/E34),"n/a",F34/E34)</f>
        <v>-0.010552538169614122</v>
      </c>
      <c r="I34" s="29">
        <v>2.129429514370343</v>
      </c>
      <c r="K34" s="42">
        <f>F34*I34</f>
        <v>-21922.16859321497</v>
      </c>
      <c r="L34" s="83">
        <f>IF(ISERROR(K34/E34),"n/a",K34/E34)</f>
        <v>-0.022470886229895907</v>
      </c>
    </row>
    <row r="35" spans="5:6" ht="12.75">
      <c r="E35" s="6"/>
      <c r="F35" s="42"/>
    </row>
    <row r="36" spans="2:12" ht="12.75">
      <c r="B36" t="s">
        <v>400</v>
      </c>
      <c r="C36" t="s">
        <v>409</v>
      </c>
      <c r="D36" t="s">
        <v>373</v>
      </c>
      <c r="E36" s="6">
        <v>93623.75624228179</v>
      </c>
      <c r="F36" s="42">
        <v>1063.5133668656956</v>
      </c>
      <c r="G36" s="83">
        <f>IF(ISERROR(F36/E36),"n/a",F36/E36)</f>
        <v>0.011359439201664911</v>
      </c>
      <c r="I36" s="29">
        <v>2.129429514370343</v>
      </c>
      <c r="K36" s="42">
        <f>F36*I36</f>
        <v>2264.6767523311864</v>
      </c>
      <c r="L36" s="83">
        <f>IF(ISERROR(K36/E36),"n/a",K36/E36)</f>
        <v>0.024189125102720744</v>
      </c>
    </row>
    <row r="37" spans="2:12" ht="12.75">
      <c r="B37" s="283"/>
      <c r="C37" s="283"/>
      <c r="D37" s="283" t="s">
        <v>279</v>
      </c>
      <c r="E37" s="10">
        <v>163806.07969769067</v>
      </c>
      <c r="F37" s="174">
        <v>1860.7452031889945</v>
      </c>
      <c r="G37" s="172">
        <f>IF(ISERROR(F37/E37),"n/a",F37/E37)</f>
        <v>0.011359439201664913</v>
      </c>
      <c r="H37" s="283"/>
      <c r="I37" s="446">
        <v>2.129429514370343</v>
      </c>
      <c r="J37" s="283"/>
      <c r="K37" s="174">
        <f>F37*I37</f>
        <v>3962.3257543936857</v>
      </c>
      <c r="L37" s="172">
        <f>IF(ISERROR(K37/E37),"n/a",K37/E37)</f>
        <v>0.024189125102720754</v>
      </c>
    </row>
    <row r="38" spans="4:12" ht="12.75">
      <c r="D38" s="447" t="s">
        <v>413</v>
      </c>
      <c r="E38" s="6">
        <f>SUM(E34:E37)</f>
        <v>1233010.788508238</v>
      </c>
      <c r="F38" s="42">
        <f>SUM(F34:F37)</f>
        <v>-7370.596669470436</v>
      </c>
      <c r="G38" s="83">
        <f>IF(ISERROR(F38/E38),"n/a",F38/E38)</f>
        <v>-0.005977722772716187</v>
      </c>
      <c r="K38" s="42">
        <f>SUM(K34:K37)</f>
        <v>-15695.166086490099</v>
      </c>
      <c r="L38" s="83">
        <f>IF(ISERROR(K38/E38),"n/a",K38/E38)</f>
        <v>-0.01272913930094557</v>
      </c>
    </row>
    <row r="39" spans="4:12" ht="12.75">
      <c r="D39" s="447"/>
      <c r="E39" s="6"/>
      <c r="F39" s="42"/>
      <c r="G39" s="83"/>
      <c r="K39" s="42"/>
      <c r="L39" s="83"/>
    </row>
    <row r="40" spans="4:12" ht="12.75">
      <c r="D40" s="14" t="s">
        <v>269</v>
      </c>
      <c r="E40" s="6">
        <f>SUM(E17,E32,E38)</f>
        <v>3091925.265</v>
      </c>
      <c r="F40" s="42">
        <f>SUM(F17,F32,F38)</f>
        <v>31405.849594484174</v>
      </c>
      <c r="G40" s="83">
        <f>IF(ISERROR(F40/E40),"n/a",F40/E40)</f>
        <v>0.010157376683709777</v>
      </c>
      <c r="K40" s="42">
        <f>SUM(K17,K32,K38)</f>
        <v>66876.54305037047</v>
      </c>
      <c r="L40" s="83">
        <f>IF(ISERROR(K40/E40),"n/a",K40/E40)</f>
        <v>0.021629417698868756</v>
      </c>
    </row>
    <row r="41" ht="12.75" hidden="1"/>
    <row r="42" spans="3:6" ht="12.75" hidden="1">
      <c r="C42" s="64"/>
      <c r="D42" s="348" t="s">
        <v>191</v>
      </c>
      <c r="E42" s="143">
        <v>0</v>
      </c>
      <c r="F42" s="143">
        <v>0</v>
      </c>
    </row>
    <row r="43" spans="5:6" ht="12.75" hidden="1">
      <c r="E43" s="143">
        <v>0</v>
      </c>
      <c r="F43" s="143">
        <v>0</v>
      </c>
    </row>
    <row r="44" spans="5:6" ht="12.75" hidden="1">
      <c r="E44" s="143">
        <v>0</v>
      </c>
      <c r="F44" s="143">
        <v>0</v>
      </c>
    </row>
    <row r="45" spans="5:6" ht="12.75" hidden="1">
      <c r="E45" s="143">
        <v>0</v>
      </c>
      <c r="F45" s="143">
        <v>0</v>
      </c>
    </row>
    <row r="46" spans="1:5" ht="12.75">
      <c r="A46" s="141"/>
      <c r="B46" s="283"/>
      <c r="C46" s="293"/>
      <c r="D46" s="293"/>
      <c r="E46" s="293"/>
    </row>
    <row r="47" ht="12.75">
      <c r="A47" s="11" t="s">
        <v>235</v>
      </c>
    </row>
    <row r="48" ht="12.75">
      <c r="A48" s="24" t="s">
        <v>401</v>
      </c>
    </row>
    <row r="49" ht="12.75">
      <c r="A49" s="12" t="s">
        <v>477</v>
      </c>
    </row>
    <row r="50" ht="12.75">
      <c r="A50" s="25" t="s">
        <v>809</v>
      </c>
    </row>
    <row r="51" ht="12.75">
      <c r="A51" s="25" t="s">
        <v>808</v>
      </c>
    </row>
    <row r="52" ht="12.75">
      <c r="A52" s="24" t="s">
        <v>414</v>
      </c>
    </row>
    <row r="53" ht="12.75">
      <c r="A53" s="25" t="s">
        <v>7</v>
      </c>
    </row>
    <row r="54" ht="12.75">
      <c r="A54" s="25" t="s">
        <v>656</v>
      </c>
    </row>
    <row r="55" ht="12.75">
      <c r="A55" s="25" t="s">
        <v>8</v>
      </c>
    </row>
    <row r="56" ht="12.75">
      <c r="A56" s="25" t="s">
        <v>657</v>
      </c>
    </row>
    <row r="57" ht="12.75">
      <c r="A57" s="12" t="s">
        <v>26</v>
      </c>
    </row>
  </sheetData>
  <sheetProtection/>
  <printOptions horizontalCentered="1"/>
  <pageMargins left="0.75" right="0.75" top="1" bottom="1" header="0.5" footer="0.5"/>
  <pageSetup fitToHeight="1" fitToWidth="1" horizontalDpi="600" verticalDpi="600" orientation="landscape" scale="70" r:id="rId1"/>
  <headerFooter alignWithMargins="0">
    <oddFooter>&amp;L&amp;F</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O27"/>
  <sheetViews>
    <sheetView zoomScale="70" zoomScaleNormal="70" zoomScalePageLayoutView="0" workbookViewId="0" topLeftCell="A1">
      <selection activeCell="A1" sqref="A1"/>
    </sheetView>
  </sheetViews>
  <sheetFormatPr defaultColWidth="9.140625" defaultRowHeight="12.75"/>
  <cols>
    <col min="1" max="1" width="12.57421875" style="0" customWidth="1"/>
    <col min="2" max="2" width="15.8515625" style="0" customWidth="1"/>
    <col min="3" max="7" width="11.7109375" style="0" customWidth="1"/>
    <col min="8" max="8" width="3.7109375" style="0" customWidth="1"/>
    <col min="9" max="9" width="11.7109375" style="0" customWidth="1"/>
    <col min="10" max="10" width="3.7109375" style="0" customWidth="1"/>
    <col min="11" max="14" width="11.7109375" style="0" customWidth="1"/>
  </cols>
  <sheetData>
    <row r="1" spans="1:2" ht="15.75">
      <c r="A1" s="158" t="s">
        <v>14</v>
      </c>
      <c r="B1" s="158"/>
    </row>
    <row r="2" spans="1:2" ht="15.75">
      <c r="A2" s="158" t="s">
        <v>787</v>
      </c>
      <c r="B2" s="443"/>
    </row>
    <row r="3" spans="1:15" ht="38.25">
      <c r="A3" s="445" t="s">
        <v>399</v>
      </c>
      <c r="B3" s="444" t="s">
        <v>348</v>
      </c>
      <c r="C3" s="168" t="s">
        <v>250</v>
      </c>
      <c r="D3" s="189" t="s">
        <v>675</v>
      </c>
      <c r="E3" s="189" t="s">
        <v>39</v>
      </c>
      <c r="F3" s="189" t="s">
        <v>217</v>
      </c>
      <c r="G3" s="8" t="s">
        <v>104</v>
      </c>
      <c r="H3" s="8"/>
      <c r="I3" s="199" t="s">
        <v>404</v>
      </c>
      <c r="J3" s="87"/>
      <c r="K3" s="189" t="s">
        <v>40</v>
      </c>
      <c r="L3" s="189" t="s">
        <v>41</v>
      </c>
      <c r="M3" s="160" t="s">
        <v>218</v>
      </c>
      <c r="N3" s="41" t="s">
        <v>133</v>
      </c>
      <c r="O3" s="11"/>
    </row>
    <row r="4" spans="1:14" ht="12.75">
      <c r="A4" s="12" t="s">
        <v>2</v>
      </c>
      <c r="B4" t="s">
        <v>278</v>
      </c>
      <c r="C4" s="6">
        <f>SUM('Table 3.26-REC Detail NonACS'!E4,'Table 3.26-REC Detail NonACS'!E19)</f>
        <v>475570.04760056</v>
      </c>
      <c r="D4" s="42">
        <f>SUM('Table 3.26-REC Detail NonACS'!F4,'Table 3.26-REC Detail NonACS'!F19)</f>
        <v>19241.80716952179</v>
      </c>
      <c r="E4" s="42">
        <f>SUM('Table 3.27-REC Detail ACS'!F4,'Table 3.27-REC Detail ACS'!F19)</f>
        <v>0</v>
      </c>
      <c r="F4" s="165">
        <f>SUM(D4:E4)</f>
        <v>19241.80716952179</v>
      </c>
      <c r="G4" s="83">
        <f>IF(ISERROR(F4/C4),"n/a",F4/C4)</f>
        <v>0.040460511057423314</v>
      </c>
      <c r="I4" s="29">
        <v>1.3578241878020127</v>
      </c>
      <c r="K4" s="42">
        <f>D4*I4</f>
        <v>26126.991191798872</v>
      </c>
      <c r="L4" s="42">
        <f>E4*I4</f>
        <v>0</v>
      </c>
      <c r="M4" s="42">
        <f>SUM(K4:L4)</f>
        <v>26126.991191798872</v>
      </c>
      <c r="N4" s="83">
        <f>IF(ISERROR(M4/C4),"n/a",M4/C4)</f>
        <v>0.05493826056460017</v>
      </c>
    </row>
    <row r="5" spans="2:14" ht="12.75">
      <c r="B5" s="12" t="s">
        <v>431</v>
      </c>
      <c r="C5" s="6">
        <f>SUM('Table 3.26-REC Detail NonACS'!E5,'Table 3.26-REC Detail NonACS'!E12,'Table 3.26-REC Detail NonACS'!E20,'Table 3.26-REC Detail NonACS'!E27,'Table 3.26-REC Detail NonACS'!E34)</f>
        <v>724833.0074450008</v>
      </c>
      <c r="D5" s="42">
        <f>SUM('Table 3.26-REC Detail NonACS'!F5,'Table 3.26-REC Detail NonACS'!F12,'Table 3.26-REC Detail NonACS'!F20,'Table 3.26-REC Detail NonACS'!F27,'Table 3.26-REC Detail NonACS'!F34)</f>
        <v>1235.6202844505115</v>
      </c>
      <c r="E5" s="42">
        <f>SUM('Table 3.27-REC Detail ACS'!F5,'Table 3.27-REC Detail ACS'!F12,'Table 3.27-REC Detail ACS'!F20,'Table 3.27-REC Detail ACS'!F27,'Table 3.27-REC Detail ACS'!F34)</f>
        <v>0</v>
      </c>
      <c r="F5" s="165">
        <f>SUM(D5:E5)</f>
        <v>1235.6202844505115</v>
      </c>
      <c r="G5" s="83">
        <f>IF(ISERROR(F5/C5),"n/a",F5/C5)</f>
        <v>0.001704696491135261</v>
      </c>
      <c r="I5" s="29">
        <v>1.3578241878020127</v>
      </c>
      <c r="K5" s="42">
        <f>D5*I5</f>
        <v>1677.7551091657076</v>
      </c>
      <c r="L5" s="42">
        <f>E5*I5</f>
        <v>0</v>
      </c>
      <c r="M5" s="42">
        <f>SUM(K5:L5)</f>
        <v>1677.7551091657076</v>
      </c>
      <c r="N5" s="83">
        <f>IF(ISERROR(M5/C5),"n/a",M5/C5)</f>
        <v>0.0023146781285246767</v>
      </c>
    </row>
    <row r="6" spans="2:14" ht="12.75">
      <c r="B6" t="s">
        <v>279</v>
      </c>
      <c r="C6" s="6">
        <f>SUM('Table 3.26-REC Detail NonACS'!E6,'Table 3.26-REC Detail NonACS'!E13,'Table 3.26-REC Detail NonACS'!E21,'Table 3.26-REC Detail NonACS'!E28)</f>
        <v>346667.2644824309</v>
      </c>
      <c r="D6" s="42">
        <f>SUM('Table 3.26-REC Detail NonACS'!F6,'Table 3.26-REC Detail NonACS'!F13,'Table 3.26-REC Detail NonACS'!F21,'Table 3.26-REC Detail NonACS'!F28)</f>
        <v>14026.33468783809</v>
      </c>
      <c r="E6" s="42">
        <f>SUM('Table 3.27-REC Detail ACS'!F6,'Table 3.27-REC Detail ACS'!F13,'Table 3.27-REC Detail ACS'!F21,'Table 3.27-REC Detail ACS'!F28)</f>
        <v>0</v>
      </c>
      <c r="F6" s="165">
        <f>SUM(D6:E6)</f>
        <v>14026.33468783809</v>
      </c>
      <c r="G6" s="83">
        <f>IF(ISERROR(F6/C6),"n/a",F6/C6)</f>
        <v>0.04046051105742333</v>
      </c>
      <c r="I6" s="29">
        <v>1.3578241878020127</v>
      </c>
      <c r="K6" s="42">
        <f>D6*I6</f>
        <v>19045.296505352955</v>
      </c>
      <c r="L6" s="42">
        <f>E6*I6</f>
        <v>0</v>
      </c>
      <c r="M6" s="42">
        <f>SUM(K6:L6)</f>
        <v>19045.296505352955</v>
      </c>
      <c r="N6" s="83">
        <f>IF(ISERROR(M6/C6),"n/a",M6/C6)</f>
        <v>0.05493826056460019</v>
      </c>
    </row>
    <row r="7" spans="3:5" ht="12.75">
      <c r="C7" s="6"/>
      <c r="D7" s="42"/>
      <c r="E7" s="42"/>
    </row>
    <row r="8" spans="1:14" ht="12.75">
      <c r="A8" s="12" t="s">
        <v>3</v>
      </c>
      <c r="B8" t="s">
        <v>278</v>
      </c>
      <c r="C8" s="6">
        <f>SUM('Table 3.26-REC Detail NonACS'!E8,'Table 3.26-REC Detail NonACS'!E23)</f>
        <v>79254.10940253509</v>
      </c>
      <c r="D8" s="42">
        <f>SUM('Table 3.26-REC Detail NonACS'!F8,'Table 3.26-REC Detail NonACS'!F23)</f>
        <v>1603.3308849137538</v>
      </c>
      <c r="E8" s="42">
        <f>SUM('Table 3.27-REC Detail ACS'!F8,'Table 3.27-REC Detail ACS'!F23)</f>
        <v>3017.8429508635845</v>
      </c>
      <c r="F8" s="165">
        <f>SUM(D8:E8)</f>
        <v>4621.173835777338</v>
      </c>
      <c r="G8" s="83">
        <f>IF(ISERROR(F8/C8),"n/a",F8/C8)</f>
        <v>0.05830831827667376</v>
      </c>
      <c r="I8" s="29">
        <v>1.3578241878020127</v>
      </c>
      <c r="K8" s="42">
        <f>D8*I8</f>
        <v>2177.0414565859</v>
      </c>
      <c r="L8" s="42">
        <f>E8*I8</f>
        <v>4097.7001536703765</v>
      </c>
      <c r="M8" s="42">
        <f>SUM(K8:L8)</f>
        <v>6274.7416102562765</v>
      </c>
      <c r="N8" s="83">
        <f>IF(ISERROR(M8/C8),"n/a",M8/C8)</f>
        <v>0.07917244490612581</v>
      </c>
    </row>
    <row r="9" spans="2:14" ht="12.75">
      <c r="B9" s="12" t="s">
        <v>373</v>
      </c>
      <c r="C9" s="6">
        <f>SUM('Table 3.26-REC Detail NonACS'!E9,'Table 3.26-REC Detail NonACS'!E24)</f>
        <v>3052.064547878421</v>
      </c>
      <c r="D9" s="42">
        <f>SUM('Table 3.26-REC Detail NonACS'!F9,'Table 3.26-REC Detail NonACS'!F24)</f>
        <v>61.74404569370226</v>
      </c>
      <c r="E9" s="42">
        <f>SUM('Table 3.27-REC Detail ACS'!F9,'Table 3.27-REC Detail ACS'!F24)</f>
        <v>116.21670536494511</v>
      </c>
      <c r="F9" s="165">
        <f>SUM(D9:E9)</f>
        <v>177.96075105864736</v>
      </c>
      <c r="G9" s="83">
        <f>IF(ISERROR(F9/C9),"n/a",F9/C9)</f>
        <v>0.05830831827667376</v>
      </c>
      <c r="I9" s="29">
        <v>1.3578241878020127</v>
      </c>
      <c r="K9" s="42">
        <f>D9*I9</f>
        <v>83.83755869566164</v>
      </c>
      <c r="L9" s="42">
        <f>E9*I9</f>
        <v>157.80185357118242</v>
      </c>
      <c r="M9" s="42">
        <f>SUM(K9:L9)</f>
        <v>241.63941226684406</v>
      </c>
      <c r="N9" s="83">
        <f>IF(ISERROR(M9/C9),"n/a",M9/C9)</f>
        <v>0.07917244490612581</v>
      </c>
    </row>
    <row r="10" spans="2:14" ht="12.75">
      <c r="B10" t="s">
        <v>279</v>
      </c>
      <c r="C10" s="6">
        <f>SUM('Table 3.26-REC Detail NonACS'!E10,'Table 3.26-REC Detail NonACS'!E25)</f>
        <v>48635.319820175544</v>
      </c>
      <c r="D10" s="42">
        <f>SUM('Table 3.26-REC Detail NonACS'!F10,'Table 3.26-REC Detail NonACS'!F25)</f>
        <v>983.9049476827659</v>
      </c>
      <c r="E10" s="42">
        <f>SUM('Table 3.27-REC Detail ACS'!F10,'Table 3.27-REC Detail ACS'!F25)</f>
        <v>1851.9387598798494</v>
      </c>
      <c r="F10" s="165">
        <f>SUM(D10:E10)</f>
        <v>2835.8437075626152</v>
      </c>
      <c r="G10" s="83">
        <f>IF(ISERROR(F10/C10),"n/a",F10/C10)</f>
        <v>0.05830831827667376</v>
      </c>
      <c r="I10" s="29">
        <v>1.3578241878020127</v>
      </c>
      <c r="K10" s="42">
        <f>D10*I10</f>
        <v>1335.9699364617334</v>
      </c>
      <c r="L10" s="42">
        <f>E10*I10</f>
        <v>2514.6072424929234</v>
      </c>
      <c r="M10" s="42">
        <f>SUM(K10:L10)</f>
        <v>3850.577178954657</v>
      </c>
      <c r="N10" s="83">
        <f>IF(ISERROR(M10/C10),"n/a",M10/C10)</f>
        <v>0.07917244490612581</v>
      </c>
    </row>
    <row r="11" spans="3:5" ht="12.75">
      <c r="C11" s="6"/>
      <c r="D11" s="42"/>
      <c r="E11" s="42"/>
    </row>
    <row r="12" spans="1:14" ht="12.75">
      <c r="A12" s="12" t="s">
        <v>4</v>
      </c>
      <c r="B12" s="12" t="s">
        <v>373</v>
      </c>
      <c r="C12" s="6">
        <f>SUM('Table 3.26-REC Detail NonACS'!E15,'Table 3.26-REC Detail NonACS'!E30,'Table 3.26-REC Detail NonACS'!E36)</f>
        <v>57904.436257523994</v>
      </c>
      <c r="D12" s="42">
        <f>SUM('Table 3.26-REC Detail NonACS'!F15,'Table 3.26-REC Detail NonACS'!F30,'Table 3.26-REC Detail NonACS'!F36)</f>
        <v>1171.4215417357063</v>
      </c>
      <c r="E12" s="42">
        <f>SUM('Table 3.27-REC Detail ACS'!F15,'Table 3.27-REC Detail ACS'!F30,'Table 3.27-REC Detail ACS'!F36)</f>
        <v>2204.8887571993705</v>
      </c>
      <c r="F12" s="165">
        <f>SUM(D12:E12)</f>
        <v>3376.310298935077</v>
      </c>
      <c r="G12" s="83">
        <f>IF(ISERROR(F12/C12),"n/a",F12/C12)</f>
        <v>0.05830831827667376</v>
      </c>
      <c r="I12" s="29">
        <v>1.3578241878020127</v>
      </c>
      <c r="K12" s="42">
        <f>D12*I12</f>
        <v>1590.584503481067</v>
      </c>
      <c r="L12" s="42">
        <f>E12*I12</f>
        <v>2993.8512859380244</v>
      </c>
      <c r="M12" s="42">
        <f>SUM(K12:L12)</f>
        <v>4584.435789419092</v>
      </c>
      <c r="N12" s="83">
        <f>IF(ISERROR(M12/C12),"n/a",M12/C12)</f>
        <v>0.0791724449061258</v>
      </c>
    </row>
    <row r="13" spans="1:14" ht="12.75">
      <c r="A13" s="283"/>
      <c r="B13" s="325" t="s">
        <v>279</v>
      </c>
      <c r="C13" s="10">
        <f>SUM('Table 3.26-REC Detail NonACS'!E16,'Table 3.26-REC Detail NonACS'!E31,'Table 3.26-REC Detail NonACS'!E37)</f>
        <v>108632.59237365435</v>
      </c>
      <c r="D13" s="174">
        <f>SUM('Table 3.26-REC Detail NonACS'!F16,'Table 3.26-REC Detail NonACS'!F31,'Table 3.26-REC Detail NonACS'!F37)</f>
        <v>2197.6651024654007</v>
      </c>
      <c r="E13" s="174">
        <f>SUM('Table 3.27-REC Detail ACS'!F16,'Table 3.27-REC Detail ACS'!F31,'Table 3.27-REC Detail ACS'!F37)</f>
        <v>4136.5186688778</v>
      </c>
      <c r="F13" s="326">
        <f>SUM(D13:E13)</f>
        <v>6334.183771343201</v>
      </c>
      <c r="G13" s="172">
        <f>IF(ISERROR(F13/C13),"n/a",F13/C13)</f>
        <v>0.05830831827667377</v>
      </c>
      <c r="H13" s="283"/>
      <c r="I13" s="446">
        <v>1.3578241878020127</v>
      </c>
      <c r="J13" s="283"/>
      <c r="K13" s="174">
        <f>D13*I13</f>
        <v>2984.0428328159096</v>
      </c>
      <c r="L13" s="174">
        <f>E13*I13</f>
        <v>5616.665101896862</v>
      </c>
      <c r="M13" s="174">
        <f>SUM(K13:L13)</f>
        <v>8600.707934712773</v>
      </c>
      <c r="N13" s="172">
        <f>IF(ISERROR(M13/C13),"n/a",M13/C13)</f>
        <v>0.07917244490612582</v>
      </c>
    </row>
    <row r="14" spans="2:14" ht="12.75">
      <c r="B14" s="14" t="s">
        <v>428</v>
      </c>
      <c r="C14" s="6">
        <f>SUM(C4:C13)</f>
        <v>1844548.8419297591</v>
      </c>
      <c r="D14" s="42">
        <f>SUM(D4:D13)</f>
        <v>40521.82866430172</v>
      </c>
      <c r="E14" s="42">
        <f>SUM(E4:E13)</f>
        <v>11327.405842185552</v>
      </c>
      <c r="F14" s="42">
        <f>SUM(F4:F13)</f>
        <v>51849.23450648727</v>
      </c>
      <c r="G14" s="83">
        <f>IF(ISERROR(F14/C14),"n/a",F14/C14)</f>
        <v>0.028109439732830727</v>
      </c>
      <c r="K14" s="42">
        <f>SUM(K4:K13)</f>
        <v>55021.51909435781</v>
      </c>
      <c r="L14" s="42">
        <f>SUM(L4:L13)</f>
        <v>15380.62563756937</v>
      </c>
      <c r="M14" s="42">
        <f>SUM(M4:M13)</f>
        <v>70402.14473192717</v>
      </c>
      <c r="N14" s="83">
        <f>IF(ISERROR(M14/C14),"n/a",M14/C14)</f>
        <v>0.038167677174800504</v>
      </c>
    </row>
    <row r="15" spans="2:14" ht="12.75">
      <c r="B15" s="14"/>
      <c r="C15" s="6"/>
      <c r="D15" s="42"/>
      <c r="E15" s="6"/>
      <c r="G15" s="83"/>
      <c r="M15" s="42"/>
      <c r="N15" s="83"/>
    </row>
    <row r="16" spans="2:14" ht="12.75">
      <c r="B16" s="14" t="s">
        <v>482</v>
      </c>
      <c r="C16" s="6">
        <f>'Table 3.26-REC Detail NonACS'!E45</f>
        <v>51187.62762563584</v>
      </c>
      <c r="D16" s="42">
        <f>'Table 3.26-REC Detail NonACS'!F45</f>
        <v>10485.530252150122</v>
      </c>
      <c r="E16" s="42">
        <f>'Table 3.27-REC Detail ACS'!F45</f>
        <v>0</v>
      </c>
      <c r="F16" s="165">
        <f>SUM(D16:E16)</f>
        <v>10485.530252150122</v>
      </c>
      <c r="G16" s="83">
        <f>IF(ISERROR(F16/C16),"n/a",F16/C16)</f>
        <v>0.20484501311208936</v>
      </c>
      <c r="I16" s="29">
        <v>1.3578241878020127</v>
      </c>
      <c r="K16" s="42">
        <f>D16*I16</f>
        <v>14237.506598299173</v>
      </c>
      <c r="L16" s="42">
        <f>E16*I16</f>
        <v>0</v>
      </c>
      <c r="M16" s="42">
        <f>SUM(K16:L16)</f>
        <v>14237.506598299173</v>
      </c>
      <c r="N16" s="83">
        <f>IF(ISERROR(M16/C16),"n/a",M16/C16)</f>
        <v>0.2781435135542154</v>
      </c>
    </row>
    <row r="17" spans="2:14" ht="12.75">
      <c r="B17" s="14"/>
      <c r="C17" s="6"/>
      <c r="D17" s="42"/>
      <c r="E17" s="6"/>
      <c r="G17" s="83"/>
      <c r="M17" s="42"/>
      <c r="N17" s="83"/>
    </row>
    <row r="18" spans="2:14" ht="12.75">
      <c r="B18" s="14" t="s">
        <v>429</v>
      </c>
      <c r="C18" s="6">
        <f>SUM(C14,C16)</f>
        <v>1895736.469555395</v>
      </c>
      <c r="D18" s="42">
        <f>SUM(D14,D16)</f>
        <v>51007.35891645184</v>
      </c>
      <c r="E18" s="42">
        <f>SUM(E14,E16)</f>
        <v>11327.405842185552</v>
      </c>
      <c r="F18" s="165">
        <f>SUM(D18:E18)</f>
        <v>62334.76475863739</v>
      </c>
      <c r="G18" s="83">
        <f>IF(ISERROR(F18/C18),"n/a",F18/C18)</f>
        <v>0.03288155593338176</v>
      </c>
      <c r="K18" s="42">
        <f>SUM(K14,K16)</f>
        <v>69259.02569265699</v>
      </c>
      <c r="L18" s="42">
        <f>SUM(L14,L16)</f>
        <v>15380.62563756937</v>
      </c>
      <c r="M18" s="42">
        <f>SUM(K18:L18)</f>
        <v>84639.65133022636</v>
      </c>
      <c r="N18" s="83">
        <f>IF(ISERROR(M18/C18),"n/a",M18/C18)</f>
        <v>0.044647371978910555</v>
      </c>
    </row>
    <row r="19" spans="2:14" ht="12.75" hidden="1">
      <c r="B19" s="14"/>
      <c r="C19" s="6"/>
      <c r="D19" s="6"/>
      <c r="E19" s="6"/>
      <c r="F19" s="42"/>
      <c r="G19" s="83"/>
      <c r="K19" s="240"/>
      <c r="L19" s="240"/>
      <c r="M19" s="42"/>
      <c r="N19" s="83"/>
    </row>
    <row r="20" spans="2:14" ht="12.75" hidden="1">
      <c r="B20" s="14" t="s">
        <v>191</v>
      </c>
      <c r="C20" s="143">
        <f>C18-'Table 3.26-REC Detail NonACS'!E47</f>
        <v>0</v>
      </c>
      <c r="D20" s="143">
        <f>D18-'Table 3.26-REC Detail NonACS'!F47</f>
        <v>0</v>
      </c>
      <c r="E20" s="143">
        <f>E18-'Table 3.27-REC Detail ACS'!F47</f>
        <v>0</v>
      </c>
      <c r="F20" s="240"/>
      <c r="G20" s="240"/>
      <c r="J20" s="14" t="s">
        <v>191</v>
      </c>
      <c r="K20" s="143">
        <f>K18-'Table 3.26-REC Detail NonACS'!K47</f>
        <v>0</v>
      </c>
      <c r="L20" s="143">
        <f>L18-'Table 3.27-REC Detail ACS'!K47</f>
        <v>0</v>
      </c>
      <c r="M20" s="240"/>
      <c r="N20" s="240"/>
    </row>
    <row r="21" spans="1:5" ht="12.75">
      <c r="A21" s="283"/>
      <c r="B21" s="293"/>
      <c r="C21" s="293"/>
      <c r="D21" s="38"/>
      <c r="E21" s="38"/>
    </row>
    <row r="22" spans="1:5" ht="12.75">
      <c r="A22" s="11" t="s">
        <v>235</v>
      </c>
      <c r="B22" s="64"/>
      <c r="C22" s="64"/>
      <c r="D22" s="64"/>
      <c r="E22" s="64"/>
    </row>
    <row r="23" spans="1:5" ht="12.75">
      <c r="A23" s="25" t="s">
        <v>658</v>
      </c>
      <c r="B23" s="64"/>
      <c r="C23" s="64"/>
      <c r="D23" s="64"/>
      <c r="E23" s="64"/>
    </row>
    <row r="24" spans="1:5" ht="12.75">
      <c r="A24" s="25" t="s">
        <v>36</v>
      </c>
      <c r="B24" s="64"/>
      <c r="C24" s="64"/>
      <c r="D24" s="64"/>
      <c r="E24" s="64"/>
    </row>
    <row r="25" ht="12.75">
      <c r="A25" s="25" t="s">
        <v>808</v>
      </c>
    </row>
    <row r="26" ht="12.75">
      <c r="A26" s="12" t="s">
        <v>25</v>
      </c>
    </row>
    <row r="27" ht="12.75">
      <c r="A27" s="12" t="s">
        <v>42</v>
      </c>
    </row>
  </sheetData>
  <sheetProtection/>
  <printOptions horizontalCentered="1"/>
  <pageMargins left="0.75" right="0.75" top="1" bottom="1" header="0.5" footer="0.5"/>
  <pageSetup fitToHeight="1" fitToWidth="1" horizontalDpi="600" verticalDpi="600" orientation="landscape" scale="80" r:id="rId1"/>
  <headerFooter alignWithMargins="0">
    <oddFooter>&amp;L&amp;F</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M67"/>
  <sheetViews>
    <sheetView zoomScale="70" zoomScaleNormal="70" zoomScalePageLayoutView="0" workbookViewId="0" topLeftCell="A1">
      <selection activeCell="A1" sqref="A1"/>
    </sheetView>
  </sheetViews>
  <sheetFormatPr defaultColWidth="9.140625" defaultRowHeight="12.75"/>
  <cols>
    <col min="1" max="1" width="27.140625" style="0" customWidth="1"/>
    <col min="2" max="2" width="9.7109375" style="0" customWidth="1"/>
    <col min="3" max="3" width="25.7109375" style="0" customWidth="1"/>
    <col min="4" max="4" width="18.28125" style="0" customWidth="1"/>
    <col min="5" max="7" width="11.7109375" style="0" customWidth="1"/>
    <col min="8" max="8" width="3.7109375" style="0" customWidth="1"/>
    <col min="9" max="9" width="11.7109375" style="0" customWidth="1"/>
    <col min="10" max="10" width="3.7109375" style="0" customWidth="1"/>
    <col min="11" max="12" width="11.7109375" style="0" customWidth="1"/>
  </cols>
  <sheetData>
    <row r="1" spans="1:4" ht="15.75">
      <c r="A1" s="158" t="s">
        <v>673</v>
      </c>
      <c r="B1" s="158"/>
      <c r="C1" s="158"/>
      <c r="D1" s="158"/>
    </row>
    <row r="2" spans="1:4" ht="15.75">
      <c r="A2" s="158" t="s">
        <v>787</v>
      </c>
      <c r="B2" s="443"/>
      <c r="C2" s="443"/>
      <c r="D2" s="443"/>
    </row>
    <row r="3" spans="1:13" ht="38.25">
      <c r="A3" s="444" t="s">
        <v>396</v>
      </c>
      <c r="B3" s="445" t="s">
        <v>399</v>
      </c>
      <c r="C3" s="444" t="s">
        <v>397</v>
      </c>
      <c r="D3" s="444" t="s">
        <v>348</v>
      </c>
      <c r="E3" s="168" t="s">
        <v>432</v>
      </c>
      <c r="F3" s="189" t="s">
        <v>403</v>
      </c>
      <c r="G3" s="8" t="s">
        <v>104</v>
      </c>
      <c r="H3" s="8"/>
      <c r="I3" s="199" t="s">
        <v>404</v>
      </c>
      <c r="J3" s="87"/>
      <c r="K3" s="160" t="s">
        <v>415</v>
      </c>
      <c r="L3" s="41" t="s">
        <v>133</v>
      </c>
      <c r="M3" s="11"/>
    </row>
    <row r="4" spans="1:12" ht="12.75">
      <c r="A4" s="25" t="s">
        <v>410</v>
      </c>
      <c r="B4" t="s">
        <v>407</v>
      </c>
      <c r="C4" t="s">
        <v>398</v>
      </c>
      <c r="D4" t="s">
        <v>278</v>
      </c>
      <c r="E4" s="6">
        <f>'Table 3.28-REC Volume'!H4</f>
        <v>281231.71882368217</v>
      </c>
      <c r="F4" s="42">
        <v>11378.779069163757</v>
      </c>
      <c r="G4" s="83">
        <f>IF(ISERROR(F4/E4),"n/a",F4/E4)</f>
        <v>0.040460511057423314</v>
      </c>
      <c r="I4" s="29">
        <v>1.3578241878020127</v>
      </c>
      <c r="K4" s="42">
        <f>F4*I4</f>
        <v>15450.38144776582</v>
      </c>
      <c r="L4" s="83">
        <f>IF(ISERROR(K4/E4),"n/a",K4/E4)</f>
        <v>0.05493826056460016</v>
      </c>
    </row>
    <row r="5" spans="4:12" ht="12.75">
      <c r="D5" t="s">
        <v>373</v>
      </c>
      <c r="E5" s="6">
        <f>'Table 3.28-REC Volume'!H5</f>
        <v>89662.2146841946</v>
      </c>
      <c r="F5" s="42">
        <v>3627.7790286629197</v>
      </c>
      <c r="G5" s="83">
        <f>IF(ISERROR(F5/E5),"n/a",F5/E5)</f>
        <v>0.04046051105742333</v>
      </c>
      <c r="I5" s="29">
        <v>1.3578241878020127</v>
      </c>
      <c r="K5" s="42">
        <f>F5*I5</f>
        <v>4925.8861131194035</v>
      </c>
      <c r="L5" s="83">
        <f>IF(ISERROR(K5/E5),"n/a",K5/E5)</f>
        <v>0.05493826056460018</v>
      </c>
    </row>
    <row r="6" spans="4:12" ht="12.75">
      <c r="D6" t="s">
        <v>279</v>
      </c>
      <c r="E6" s="6">
        <f>'Table 3.28-REC Volume'!H6</f>
        <v>5270.538118439171</v>
      </c>
      <c r="F6" s="42">
        <v>213.24866581967913</v>
      </c>
      <c r="G6" s="83">
        <f>IF(ISERROR(F6/E6),"n/a",F6/E6)</f>
        <v>0.040460511057423314</v>
      </c>
      <c r="I6" s="29">
        <v>1.3578241878020127</v>
      </c>
      <c r="K6" s="42">
        <f>F6*I6</f>
        <v>289.5541964664687</v>
      </c>
      <c r="L6" s="83">
        <f>IF(ISERROR(K6/E6),"n/a",K6/E6)</f>
        <v>0.05493826056460017</v>
      </c>
    </row>
    <row r="7" ht="12.75">
      <c r="E7" s="6"/>
    </row>
    <row r="8" spans="2:12" ht="12.75">
      <c r="B8" t="s">
        <v>476</v>
      </c>
      <c r="C8" t="s">
        <v>398</v>
      </c>
      <c r="D8" t="s">
        <v>278</v>
      </c>
      <c r="E8" s="6">
        <f>'Table 3.28-REC Volume'!H8</f>
        <v>46867.479404076854</v>
      </c>
      <c r="F8" s="42">
        <v>948.1410843311054</v>
      </c>
      <c r="G8" s="83">
        <f>IF(ISERROR(F8/E8),"n/a",F8/E8)</f>
        <v>0.020230255528711653</v>
      </c>
      <c r="I8" s="29">
        <v>1.3578241878020127</v>
      </c>
      <c r="K8" s="42">
        <f>F8*I8</f>
        <v>1287.4088977536028</v>
      </c>
      <c r="L8" s="83">
        <f>IF(ISERROR(K8/E8),"n/a",K8/E8)</f>
        <v>0.02746913028230008</v>
      </c>
    </row>
    <row r="9" spans="4:12" ht="12.75">
      <c r="D9" t="s">
        <v>373</v>
      </c>
      <c r="E9" s="6">
        <f>'Table 3.28-REC Volume'!H9</f>
        <v>1804.8600055687402</v>
      </c>
      <c r="F9" s="42">
        <v>36.51277910620756</v>
      </c>
      <c r="G9" s="83">
        <f>IF(ISERROR(F9/E9),"n/a",F9/E9)</f>
        <v>0.020230255528711657</v>
      </c>
      <c r="I9" s="29">
        <v>1.3578241878020127</v>
      </c>
      <c r="K9" s="42">
        <f>F9*I9</f>
        <v>49.57793463428058</v>
      </c>
      <c r="L9" s="83">
        <f>IF(ISERROR(K9/E9),"n/a",K9/E9)</f>
        <v>0.027469130282300084</v>
      </c>
    </row>
    <row r="10" spans="4:12" ht="12.75">
      <c r="D10" t="s">
        <v>279</v>
      </c>
      <c r="E10" s="6">
        <f>'Table 3.28-REC Volume'!H10</f>
        <v>28760.84113702572</v>
      </c>
      <c r="F10" s="42">
        <v>581.8391654227122</v>
      </c>
      <c r="G10" s="83">
        <f>IF(ISERROR(F10/E10),"n/a",F10/E10)</f>
        <v>0.020230255528711657</v>
      </c>
      <c r="I10" s="29">
        <v>1.3578241878020127</v>
      </c>
      <c r="K10" s="42">
        <f>F10*I10</f>
        <v>790.0352922214952</v>
      </c>
      <c r="L10" s="83">
        <f>IF(ISERROR(K10/E10),"n/a",K10/E10)</f>
        <v>0.027469130282300084</v>
      </c>
    </row>
    <row r="11" ht="12.75">
      <c r="E11" s="6"/>
    </row>
    <row r="12" spans="2:12" ht="12.75">
      <c r="B12" t="s">
        <v>407</v>
      </c>
      <c r="C12" s="12" t="s">
        <v>48</v>
      </c>
      <c r="D12" t="s">
        <v>373</v>
      </c>
      <c r="E12" s="6">
        <f>'Table 3.28-REC Volume'!H12</f>
        <v>10130.396608640845</v>
      </c>
      <c r="F12" s="42">
        <v>409.8810239999966</v>
      </c>
      <c r="G12" s="83">
        <f>IF(ISERROR(F12/E12),"n/a",F12/E12)</f>
        <v>0.04046051105742332</v>
      </c>
      <c r="I12" s="29">
        <v>1.3578241878020127</v>
      </c>
      <c r="K12" s="42">
        <f>F12*I12</f>
        <v>556.5463685082527</v>
      </c>
      <c r="L12" s="83">
        <f>IF(ISERROR(K12/E12),"n/a",K12/E12)</f>
        <v>0.054938260564600175</v>
      </c>
    </row>
    <row r="13" spans="3:12" ht="12.75">
      <c r="C13" s="12" t="s">
        <v>655</v>
      </c>
      <c r="D13" t="s">
        <v>279</v>
      </c>
      <c r="E13" s="6">
        <f>'Table 3.28-REC Volume'!H13</f>
        <v>337754.64938214724</v>
      </c>
      <c r="F13" s="42">
        <v>13665.725726022505</v>
      </c>
      <c r="G13" s="83">
        <f>IF(ISERROR(F13/E13),"n/a",F13/E13)</f>
        <v>0.04046051105742332</v>
      </c>
      <c r="I13" s="29">
        <v>1.3578241878020127</v>
      </c>
      <c r="K13" s="42">
        <f>F13*I13</f>
        <v>18555.65293466158</v>
      </c>
      <c r="L13" s="83">
        <f>IF(ISERROR(K13/E13),"n/a",K13/E13)</f>
        <v>0.054938260564600175</v>
      </c>
    </row>
    <row r="14" ht="12.75">
      <c r="E14" s="6"/>
    </row>
    <row r="15" spans="2:12" ht="12.75">
      <c r="B15" t="s">
        <v>400</v>
      </c>
      <c r="C15" s="12" t="s">
        <v>48</v>
      </c>
      <c r="D15" t="s">
        <v>373</v>
      </c>
      <c r="E15" s="6">
        <f>'Table 3.28-REC Volume'!H15</f>
        <v>1521.4413406381052</v>
      </c>
      <c r="F15" s="42">
        <v>30.7791470930545</v>
      </c>
      <c r="G15" s="83">
        <f>IF(ISERROR(F15/E15),"n/a",F15/E15)</f>
        <v>0.020230255528711657</v>
      </c>
      <c r="I15" s="29">
        <v>1.3578241878020127</v>
      </c>
      <c r="K15" s="42">
        <f>F15*I15</f>
        <v>41.79267040286541</v>
      </c>
      <c r="L15" s="83">
        <f>IF(ISERROR(K15/E15),"n/a",K15/E15)</f>
        <v>0.027469130282300084</v>
      </c>
    </row>
    <row r="16" spans="2:12" ht="12.75">
      <c r="B16" s="283"/>
      <c r="C16" s="325" t="s">
        <v>48</v>
      </c>
      <c r="D16" s="283" t="s">
        <v>279</v>
      </c>
      <c r="E16" s="10">
        <f>'Table 3.28-REC Volume'!H16</f>
        <v>6991.73270084075</v>
      </c>
      <c r="F16" s="174">
        <v>141.44453912645767</v>
      </c>
      <c r="G16" s="172">
        <f>IF(ISERROR(F16/E16),"n/a",F16/E16)</f>
        <v>0.020230255528711657</v>
      </c>
      <c r="H16" s="283"/>
      <c r="I16" s="446">
        <v>1.3578241878020127</v>
      </c>
      <c r="J16" s="283"/>
      <c r="K16" s="174">
        <f>F16*I16</f>
        <v>192.0568164584124</v>
      </c>
      <c r="L16" s="172">
        <f>IF(ISERROR(K16/E16),"n/a",K16/E16)</f>
        <v>0.027469130282300084</v>
      </c>
    </row>
    <row r="17" spans="4:12" ht="12.75">
      <c r="D17" s="447" t="s">
        <v>406</v>
      </c>
      <c r="E17" s="6">
        <f>SUM(E4:E16)</f>
        <v>809995.8722052542</v>
      </c>
      <c r="F17" s="42">
        <f>SUM(F4:F16)</f>
        <v>31034.130228748392</v>
      </c>
      <c r="G17" s="83">
        <f>IF(ISERROR(F17/E17),"n/a",F17/E17)</f>
        <v>0.03831393627260893</v>
      </c>
      <c r="K17" s="42">
        <f>SUM(K4:K16)</f>
        <v>42138.89267199217</v>
      </c>
      <c r="L17" s="83">
        <f>IF(ISERROR(K17/E17),"n/a",K17/E17)</f>
        <v>0.05202358940085328</v>
      </c>
    </row>
    <row r="18" ht="4.5" customHeight="1"/>
    <row r="19" spans="1:12" ht="12.75">
      <c r="A19" s="25" t="s">
        <v>411</v>
      </c>
      <c r="B19" t="s">
        <v>407</v>
      </c>
      <c r="C19" t="s">
        <v>398</v>
      </c>
      <c r="D19" t="s">
        <v>278</v>
      </c>
      <c r="E19" s="6">
        <f>'Table 3.28-REC Volume'!H19</f>
        <v>194338.32877687787</v>
      </c>
      <c r="F19" s="42">
        <v>7863.028100358034</v>
      </c>
      <c r="G19" s="83">
        <f>IF(ISERROR(F19/E19),"n/a",F19/E19)</f>
        <v>0.040460511057423314</v>
      </c>
      <c r="I19" s="29">
        <v>1.3578241878020127</v>
      </c>
      <c r="K19" s="42">
        <f>F19*I19</f>
        <v>10676.60974403305</v>
      </c>
      <c r="L19" s="83">
        <f>IF(ISERROR(K19/E19),"n/a",K19/E19)</f>
        <v>0.05493826056460016</v>
      </c>
    </row>
    <row r="20" spans="4:12" ht="12.75">
      <c r="D20" t="s">
        <v>373</v>
      </c>
      <c r="E20" s="6">
        <f>'Table 3.28-REC Volume'!H20</f>
        <v>61958.88937792421</v>
      </c>
      <c r="F20" s="42">
        <v>2506.8883287811705</v>
      </c>
      <c r="G20" s="83">
        <f>IF(ISERROR(F20/E20),"n/a",F20/E20)</f>
        <v>0.040460511057423314</v>
      </c>
      <c r="I20" s="29">
        <v>1.3578241878020127</v>
      </c>
      <c r="K20" s="42">
        <f>F20*I20</f>
        <v>3403.913608937638</v>
      </c>
      <c r="L20" s="83">
        <f>IF(ISERROR(K20/E20),"n/a",K20/E20)</f>
        <v>0.05493826056460017</v>
      </c>
    </row>
    <row r="21" spans="4:12" ht="12.75">
      <c r="D21" t="s">
        <v>279</v>
      </c>
      <c r="E21" s="6">
        <f>'Table 3.28-REC Volume'!H21</f>
        <v>3642.076981844504</v>
      </c>
      <c r="F21" s="42">
        <v>147.36029599590648</v>
      </c>
      <c r="G21" s="83">
        <f>IF(ISERROR(F21/E21),"n/a",F21/E21)</f>
        <v>0.040460511057423314</v>
      </c>
      <c r="I21" s="29">
        <v>1.3578241878020127</v>
      </c>
      <c r="K21" s="42">
        <f>F21*I21</f>
        <v>200.08937422490592</v>
      </c>
      <c r="L21" s="83">
        <f>IF(ISERROR(K21/E21),"n/a",K21/E21)</f>
        <v>0.05493826056460017</v>
      </c>
    </row>
    <row r="22" ht="12.75">
      <c r="E22" s="6"/>
    </row>
    <row r="23" spans="2:12" ht="12.75">
      <c r="B23" t="s">
        <v>476</v>
      </c>
      <c r="C23" t="s">
        <v>398</v>
      </c>
      <c r="D23" t="s">
        <v>278</v>
      </c>
      <c r="E23" s="6">
        <f>'Table 3.28-REC Volume'!H23</f>
        <v>32386.629998458233</v>
      </c>
      <c r="F23" s="42">
        <v>655.1898005826484</v>
      </c>
      <c r="G23" s="83">
        <f>IF(ISERROR(F23/E23),"n/a",F23/E23)</f>
        <v>0.020230255528711657</v>
      </c>
      <c r="I23" s="29">
        <v>1.3578241878020127</v>
      </c>
      <c r="K23" s="42">
        <f>F23*I23</f>
        <v>889.6325588322974</v>
      </c>
      <c r="L23" s="83">
        <f>IF(ISERROR(K23/E23),"n/a",K23/E23)</f>
        <v>0.027469130282300084</v>
      </c>
    </row>
    <row r="24" spans="4:12" ht="12.75">
      <c r="D24" t="s">
        <v>373</v>
      </c>
      <c r="E24" s="6">
        <f>'Table 3.28-REC Volume'!H24</f>
        <v>1247.2045423096806</v>
      </c>
      <c r="F24" s="42">
        <v>25.2312665874947</v>
      </c>
      <c r="G24" s="83">
        <f>IF(ISERROR(F24/E24),"n/a",F24/E24)</f>
        <v>0.020230255528711653</v>
      </c>
      <c r="I24" s="29">
        <v>1.3578241878020127</v>
      </c>
      <c r="K24" s="42">
        <f>F24*I24</f>
        <v>34.259624061381054</v>
      </c>
      <c r="L24" s="83">
        <f>IF(ISERROR(K24/E24),"n/a",K24/E24)</f>
        <v>0.027469130282300077</v>
      </c>
    </row>
    <row r="25" spans="4:12" ht="12.75">
      <c r="D25" t="s">
        <v>279</v>
      </c>
      <c r="E25" s="6">
        <f>'Table 3.28-REC Volume'!H25</f>
        <v>19874.478683149824</v>
      </c>
      <c r="F25" s="42">
        <v>402.0657822600537</v>
      </c>
      <c r="G25" s="83">
        <f>IF(ISERROR(F25/E25),"n/a",F25/E25)</f>
        <v>0.020230255528711657</v>
      </c>
      <c r="I25" s="29">
        <v>1.3578241878020127</v>
      </c>
      <c r="K25" s="42">
        <f>F25*I25</f>
        <v>545.9346442402383</v>
      </c>
      <c r="L25" s="83">
        <f>IF(ISERROR(K25/E25),"n/a",K25/E25)</f>
        <v>0.027469130282300084</v>
      </c>
    </row>
    <row r="26" ht="12.75">
      <c r="E26" s="6"/>
    </row>
    <row r="27" spans="2:12" ht="12.75">
      <c r="B27" t="s">
        <v>407</v>
      </c>
      <c r="C27" s="12" t="s">
        <v>48</v>
      </c>
      <c r="D27" s="12" t="s">
        <v>433</v>
      </c>
      <c r="E27" s="6">
        <f>'Table 3.28-REC Volume'!H27</f>
        <v>7000.363810330021</v>
      </c>
      <c r="F27" s="42">
        <v>-482.6144594137806</v>
      </c>
      <c r="G27" s="83">
        <f>IF(ISERROR(F27/E27),"n/a",F27/E27)</f>
        <v>-0.0689413396917479</v>
      </c>
      <c r="I27" s="29">
        <v>1.3578241878020127</v>
      </c>
      <c r="K27" s="42">
        <f>F27*I27</f>
        <v>-655.3055863750241</v>
      </c>
      <c r="L27" s="83">
        <f>IF(ISERROR(K27/E27),"n/a",K27/E27)</f>
        <v>-0.09361021857293024</v>
      </c>
    </row>
    <row r="28" spans="3:12" ht="12.75">
      <c r="C28" s="12" t="s">
        <v>655</v>
      </c>
      <c r="D28" t="s">
        <v>279</v>
      </c>
      <c r="E28" s="6">
        <f>'Table 3.28-REC Volume'!H28</f>
        <v>0</v>
      </c>
      <c r="F28" s="42">
        <v>0</v>
      </c>
      <c r="G28" s="83" t="str">
        <f>IF(ISERROR(F28/E28),"n/a",F28/E28)</f>
        <v>n/a</v>
      </c>
      <c r="I28" s="29">
        <v>1.3578241878020127</v>
      </c>
      <c r="K28" s="42">
        <f>F28*I28</f>
        <v>0</v>
      </c>
      <c r="L28" s="83" t="str">
        <f>IF(ISERROR(K28/E28),"n/a",K28/E28)</f>
        <v>n/a</v>
      </c>
    </row>
    <row r="29" ht="12.75">
      <c r="E29" s="6"/>
    </row>
    <row r="30" spans="2:12" ht="12.75">
      <c r="B30" t="s">
        <v>400</v>
      </c>
      <c r="C30" s="12" t="s">
        <v>48</v>
      </c>
      <c r="D30" t="s">
        <v>373</v>
      </c>
      <c r="E30" s="6">
        <f>'Table 3.28-REC Volume'!H30</f>
        <v>1051.3549776973573</v>
      </c>
      <c r="F30" s="42">
        <v>21.269179850200484</v>
      </c>
      <c r="G30" s="83">
        <f>IF(ISERROR(F30/E30),"n/a",F30/E30)</f>
        <v>0.020230255528711657</v>
      </c>
      <c r="I30" s="29">
        <v>1.3578241878020127</v>
      </c>
      <c r="K30" s="42">
        <f>F30*I30</f>
        <v>28.879806855313408</v>
      </c>
      <c r="L30" s="83">
        <f>IF(ISERROR(K30/E30),"n/a",K30/E30)</f>
        <v>0.027469130282300084</v>
      </c>
    </row>
    <row r="31" spans="2:12" ht="12.75">
      <c r="B31" s="283"/>
      <c r="C31" s="325" t="s">
        <v>48</v>
      </c>
      <c r="D31" s="283" t="s">
        <v>279</v>
      </c>
      <c r="E31" s="10">
        <f>'Table 3.28-REC Volume'!H31</f>
        <v>4831.466571478415</v>
      </c>
      <c r="F31" s="174">
        <v>97.74180331943676</v>
      </c>
      <c r="G31" s="172">
        <f>IF(ISERROR(F31/E31),"n/a",F31/E31)</f>
        <v>0.020230255528711657</v>
      </c>
      <c r="H31" s="283"/>
      <c r="I31" s="446">
        <v>1.3578241878020127</v>
      </c>
      <c r="J31" s="283"/>
      <c r="K31" s="174">
        <f>F31*I31</f>
        <v>132.71618470651828</v>
      </c>
      <c r="L31" s="172">
        <f>IF(ISERROR(K31/E31),"n/a",K31/E31)</f>
        <v>0.02746913028230008</v>
      </c>
    </row>
    <row r="32" spans="4:12" ht="12.75">
      <c r="D32" s="447" t="s">
        <v>405</v>
      </c>
      <c r="E32" s="6">
        <f>SUM(E19:E31)</f>
        <v>326330.79372007016</v>
      </c>
      <c r="F32" s="42">
        <f>SUM(F19:F31)</f>
        <v>11236.160098321163</v>
      </c>
      <c r="G32" s="83">
        <f>IF(ISERROR(F32/E32),"n/a",F32/E32)</f>
        <v>0.034431810649042376</v>
      </c>
      <c r="K32" s="42">
        <f>SUM(K19:K31)</f>
        <v>15256.72995951632</v>
      </c>
      <c r="L32" s="83">
        <f>IF(ISERROR(K32/E32),"n/a",K32/E32)</f>
        <v>0.046752345329088674</v>
      </c>
    </row>
    <row r="33" ht="4.5" customHeight="1"/>
    <row r="34" spans="1:12" ht="12.75">
      <c r="A34" s="25" t="s">
        <v>412</v>
      </c>
      <c r="B34" t="s">
        <v>407</v>
      </c>
      <c r="C34" s="12" t="s">
        <v>409</v>
      </c>
      <c r="D34" s="12" t="s">
        <v>433</v>
      </c>
      <c r="E34" s="6">
        <f>'Table 3.28-REC Volume'!H34</f>
        <v>556081.1429639112</v>
      </c>
      <c r="F34" s="42">
        <v>-4826.313637579795</v>
      </c>
      <c r="G34" s="83">
        <f>IF(ISERROR(F34/E34),"n/a",F34/E34)</f>
        <v>-0.008679153570746086</v>
      </c>
      <c r="I34" s="29">
        <v>1.3578241878020127</v>
      </c>
      <c r="K34" s="42">
        <f>F34*I34</f>
        <v>-6553.285395024563</v>
      </c>
      <c r="L34" s="83">
        <f>IF(ISERROR(K34/E34),"n/a",K34/E34)</f>
        <v>-0.011784764648007245</v>
      </c>
    </row>
    <row r="35" ht="12.75">
      <c r="E35" s="6"/>
    </row>
    <row r="36" spans="2:12" ht="12.75">
      <c r="B36" t="s">
        <v>400</v>
      </c>
      <c r="C36" t="s">
        <v>409</v>
      </c>
      <c r="D36" t="s">
        <v>373</v>
      </c>
      <c r="E36" s="6">
        <f>'Table 3.28-REC Volume'!H36</f>
        <v>55331.63993918853</v>
      </c>
      <c r="F36" s="42">
        <v>1119.3732147924513</v>
      </c>
      <c r="G36" s="83">
        <f>IF(ISERROR(F36/E36),"n/a",F36/E36)</f>
        <v>0.020230255528711653</v>
      </c>
      <c r="I36" s="29">
        <v>1.3578241878020127</v>
      </c>
      <c r="K36" s="42">
        <f>F36*I36</f>
        <v>1519.9120262228882</v>
      </c>
      <c r="L36" s="83">
        <f>IF(ISERROR(K36/E36),"n/a",K36/E36)</f>
        <v>0.02746913028230008</v>
      </c>
    </row>
    <row r="37" spans="2:12" ht="12.75">
      <c r="B37" s="283"/>
      <c r="C37" s="283"/>
      <c r="D37" s="283" t="s">
        <v>279</v>
      </c>
      <c r="E37" s="10">
        <f>'Table 3.28-REC Volume'!H37</f>
        <v>96809.39310133518</v>
      </c>
      <c r="F37" s="174">
        <v>1958.4787600195064</v>
      </c>
      <c r="G37" s="172">
        <f>IF(ISERROR(F37/E37),"n/a",F37/E37)</f>
        <v>0.020230255528711657</v>
      </c>
      <c r="H37" s="283"/>
      <c r="I37" s="446">
        <v>1.3578241878020127</v>
      </c>
      <c r="J37" s="283"/>
      <c r="K37" s="174">
        <f>F37*I37</f>
        <v>2659.269831650979</v>
      </c>
      <c r="L37" s="172">
        <f>IF(ISERROR(K37/E37),"n/a",K37/E37)</f>
        <v>0.027469130282300084</v>
      </c>
    </row>
    <row r="38" spans="4:12" ht="12.75">
      <c r="D38" s="447" t="s">
        <v>413</v>
      </c>
      <c r="E38" s="6">
        <f>SUM(E34:E37)</f>
        <v>708222.1760044348</v>
      </c>
      <c r="F38" s="42">
        <f>SUM(F34:F37)</f>
        <v>-1748.4616627678374</v>
      </c>
      <c r="G38" s="83">
        <f>IF(ISERROR(F38/E38),"n/a",F38/E38)</f>
        <v>-0.0024688038895253244</v>
      </c>
      <c r="K38" s="42">
        <f>SUM(K34:K37)</f>
        <v>-2374.1035371506955</v>
      </c>
      <c r="L38" s="83">
        <f>IF(ISERROR(K38/E38),"n/a",K38/E38)</f>
        <v>-0.0033522016361371733</v>
      </c>
    </row>
    <row r="39" spans="4:12" ht="4.5" customHeight="1">
      <c r="D39" s="447"/>
      <c r="E39" s="6"/>
      <c r="F39" s="6"/>
      <c r="G39" s="83"/>
      <c r="K39" s="42"/>
      <c r="L39" s="83"/>
    </row>
    <row r="40" spans="4:12" ht="12.75">
      <c r="D40" s="447" t="s">
        <v>428</v>
      </c>
      <c r="E40" s="6">
        <f>SUM(E17,E32,E38)</f>
        <v>1844548.8419297594</v>
      </c>
      <c r="F40" s="42">
        <f>SUM(F17,F32,F38)</f>
        <v>40521.82866430171</v>
      </c>
      <c r="G40" s="83">
        <f>IF(ISERROR(F40/E40),"n/a",F40/E40)</f>
        <v>0.021968422707586286</v>
      </c>
      <c r="K40" s="42">
        <f>SUM(K17,K32,K38)</f>
        <v>55021.5190943578</v>
      </c>
      <c r="L40" s="83">
        <f>IF(ISERROR(K40/E40),"n/a",K40/E40)</f>
        <v>0.029829255720219647</v>
      </c>
    </row>
    <row r="41" spans="4:12" ht="4.5" customHeight="1">
      <c r="D41" s="447"/>
      <c r="E41" s="38"/>
      <c r="K41" s="449"/>
      <c r="L41" s="450"/>
    </row>
    <row r="42" spans="4:5" ht="12.75">
      <c r="D42" s="12" t="s">
        <v>418</v>
      </c>
      <c r="E42" s="64"/>
    </row>
    <row r="43" spans="4:12" ht="12.75">
      <c r="D43" s="14" t="s">
        <v>425</v>
      </c>
      <c r="E43" s="53">
        <f>'Table 3.28-REC Volume'!H43</f>
        <v>36972.984</v>
      </c>
      <c r="F43" s="42">
        <v>7573.731392273071</v>
      </c>
      <c r="G43" s="83">
        <f>IF(ISERROR(F43/E43),"n/a",F43/E43)</f>
        <v>0.2048450131120894</v>
      </c>
      <c r="I43" s="29">
        <v>1.3578241878020127</v>
      </c>
      <c r="K43" s="42">
        <f>F43*I43</f>
        <v>10283.79567634379</v>
      </c>
      <c r="L43" s="83">
        <f>IF(ISERROR(K43/E43),"n/a",K43/E43)</f>
        <v>0.27814351355421546</v>
      </c>
    </row>
    <row r="44" spans="4:12" ht="12.75">
      <c r="D44" s="451" t="s">
        <v>426</v>
      </c>
      <c r="E44" s="282">
        <f>'Table 3.28-REC Volume'!H44</f>
        <v>14214.64362563584</v>
      </c>
      <c r="F44" s="174">
        <v>2911.798859877051</v>
      </c>
      <c r="G44" s="172">
        <f>IF(ISERROR(F44/E44),"n/a",F44/E44)</f>
        <v>0.20484501311208939</v>
      </c>
      <c r="H44" s="283"/>
      <c r="I44" s="446">
        <v>1.3578241878020127</v>
      </c>
      <c r="J44" s="283"/>
      <c r="K44" s="174">
        <f>F44*I44</f>
        <v>3953.7109219553836</v>
      </c>
      <c r="L44" s="172">
        <f>IF(ISERROR(K44/E44),"n/a",K44/E44)</f>
        <v>0.2781435135542154</v>
      </c>
    </row>
    <row r="45" spans="4:12" ht="12.75">
      <c r="D45" s="447" t="s">
        <v>427</v>
      </c>
      <c r="E45" s="6">
        <f>SUM(E43:E44)</f>
        <v>51187.62762563584</v>
      </c>
      <c r="F45" s="42">
        <f>SUM(F43:F44)</f>
        <v>10485.530252150122</v>
      </c>
      <c r="G45" s="83">
        <f>IF(ISERROR(F45/E45),"n/a",F45/E45)</f>
        <v>0.20484501311208936</v>
      </c>
      <c r="K45" s="42">
        <f>SUM(K43:K44)</f>
        <v>14237.506598299175</v>
      </c>
      <c r="L45" s="83">
        <f>IF(ISERROR(K45/E45),"n/a",K45/E45)</f>
        <v>0.27814351355421546</v>
      </c>
    </row>
    <row r="46" ht="4.5" customHeight="1">
      <c r="D46" s="447"/>
    </row>
    <row r="47" spans="4:12" ht="12.75">
      <c r="D47" s="459" t="s">
        <v>429</v>
      </c>
      <c r="E47" s="6">
        <f>SUM(E40,E45)</f>
        <v>1895736.4695553952</v>
      </c>
      <c r="F47" s="42">
        <f>SUM(F40,F45)</f>
        <v>51007.358916451834</v>
      </c>
      <c r="G47" s="83">
        <f>IF(ISERROR(F47/E47),"n/a",F47/E47)</f>
        <v>0.026906355253277652</v>
      </c>
      <c r="K47" s="42">
        <f>SUM(K40,K45)</f>
        <v>69259.02569265697</v>
      </c>
      <c r="L47" s="83">
        <f>IF(ISERROR(K47/E47),"n/a",K47/E47)</f>
        <v>0.036534099968494146</v>
      </c>
    </row>
    <row r="48" spans="4:12" ht="12.75">
      <c r="D48" s="447"/>
      <c r="E48" s="6"/>
      <c r="F48" s="42"/>
      <c r="G48" s="83"/>
      <c r="K48" s="42"/>
      <c r="L48" s="83"/>
    </row>
    <row r="49" spans="4:12" ht="12.75">
      <c r="D49" s="360" t="s">
        <v>476</v>
      </c>
      <c r="E49" s="362">
        <f>SUM(E8:E10,E23:E25)</f>
        <v>130941.49377058905</v>
      </c>
      <c r="F49" s="463">
        <f>SUM(F8:F10,F23:F25)</f>
        <v>2648.979878290222</v>
      </c>
      <c r="G49" s="464">
        <f>IF(ISERROR(F49/E49),"n/a",F49/E49)</f>
        <v>0.020230255528711657</v>
      </c>
      <c r="H49" s="361"/>
      <c r="I49" s="465">
        <v>1.3578241878020127</v>
      </c>
      <c r="J49" s="361"/>
      <c r="K49" s="463">
        <f>F49*I49</f>
        <v>3596.8489517432954</v>
      </c>
      <c r="L49" s="466">
        <f>IF(ISERROR(K49/E49),"n/a",K49/E49)</f>
        <v>0.027469130282300084</v>
      </c>
    </row>
    <row r="50" spans="4:12" ht="12.75">
      <c r="D50" s="467" t="s">
        <v>400</v>
      </c>
      <c r="E50" s="10">
        <f>SUM(E15:E16,E30:E31,E36:E37)</f>
        <v>166537.02863117834</v>
      </c>
      <c r="F50" s="174">
        <f>SUM(F15:F16,F30:F31,F36:F37)</f>
        <v>3369.086644201107</v>
      </c>
      <c r="G50" s="172">
        <f>IF(ISERROR(F50/E50),"n/a",F50/E50)</f>
        <v>0.020230255528711657</v>
      </c>
      <c r="H50" s="283"/>
      <c r="I50" s="446">
        <v>1.3578241878020127</v>
      </c>
      <c r="J50" s="283"/>
      <c r="K50" s="174">
        <f>F50*I50</f>
        <v>4574.627336296977</v>
      </c>
      <c r="L50" s="468">
        <f>IF(ISERROR(K50/E50),"n/a",K50/E50)</f>
        <v>0.027469130282300084</v>
      </c>
    </row>
    <row r="51" ht="12.75" hidden="1">
      <c r="A51" s="25"/>
    </row>
    <row r="52" spans="1:12" ht="12.75" hidden="1">
      <c r="A52" s="25"/>
      <c r="D52" s="14" t="s">
        <v>191</v>
      </c>
      <c r="E52" s="143">
        <f>E17-'Table 3.28-REC Volume'!H17</f>
        <v>0</v>
      </c>
      <c r="F52" s="143">
        <v>0</v>
      </c>
      <c r="J52" s="14" t="s">
        <v>191</v>
      </c>
      <c r="K52" s="143">
        <f>K47/F47-I44</f>
        <v>0</v>
      </c>
      <c r="L52" s="143">
        <f>L47/G47-I44</f>
        <v>0</v>
      </c>
    </row>
    <row r="53" spans="1:6" ht="12.75" hidden="1">
      <c r="A53" s="25"/>
      <c r="E53" s="143">
        <f>E32-'Table 3.28-REC Volume'!H32</f>
        <v>0</v>
      </c>
      <c r="F53" s="143">
        <v>0</v>
      </c>
    </row>
    <row r="54" spans="5:6" ht="12.75" hidden="1">
      <c r="E54" s="143">
        <f>E38-'Table 3.28-REC Volume'!H38</f>
        <v>0</v>
      </c>
      <c r="F54" s="143">
        <v>0</v>
      </c>
    </row>
    <row r="55" spans="5:6" ht="12.75" hidden="1">
      <c r="E55" s="143">
        <f>E45-'Table 3.28-REC Volume'!H45</f>
        <v>0</v>
      </c>
      <c r="F55" s="143">
        <v>0</v>
      </c>
    </row>
    <row r="56" spans="5:6" ht="12.75" hidden="1">
      <c r="E56" s="143">
        <f>E47-'Table 3.28-REC Volume'!H47</f>
        <v>0</v>
      </c>
      <c r="F56" s="240"/>
    </row>
    <row r="57" spans="1:3" ht="12.75">
      <c r="A57" s="141"/>
      <c r="B57" s="283"/>
      <c r="C57" s="293"/>
    </row>
    <row r="58" spans="1:3" ht="12.75">
      <c r="A58" s="11" t="s">
        <v>235</v>
      </c>
      <c r="C58" s="64"/>
    </row>
    <row r="59" spans="1:3" ht="12.75">
      <c r="A59" s="12" t="s">
        <v>699</v>
      </c>
      <c r="C59" s="64"/>
    </row>
    <row r="60" ht="12.75">
      <c r="A60" s="25" t="s">
        <v>810</v>
      </c>
    </row>
    <row r="61" ht="12.75">
      <c r="A61" s="25" t="s">
        <v>808</v>
      </c>
    </row>
    <row r="62" ht="12.75">
      <c r="A62" s="24" t="s">
        <v>414</v>
      </c>
    </row>
    <row r="63" ht="12.75">
      <c r="A63" s="25" t="s">
        <v>7</v>
      </c>
    </row>
    <row r="64" ht="12.75">
      <c r="A64" s="25" t="s">
        <v>656</v>
      </c>
    </row>
    <row r="65" ht="12.75">
      <c r="A65" s="25" t="s">
        <v>8</v>
      </c>
    </row>
    <row r="66" ht="12.75">
      <c r="A66" s="25" t="s">
        <v>657</v>
      </c>
    </row>
    <row r="67" ht="12.75">
      <c r="A67" s="12" t="s">
        <v>24</v>
      </c>
    </row>
  </sheetData>
  <sheetProtection/>
  <printOptions horizontalCentered="1"/>
  <pageMargins left="0.75" right="0.75" top="1" bottom="1" header="0.5" footer="0.5"/>
  <pageSetup fitToHeight="1" fitToWidth="1" horizontalDpi="600" verticalDpi="600" orientation="landscape" scale="62" r:id="rId3"/>
  <headerFooter alignWithMargins="0">
    <oddFooter>&amp;L&amp;F</oddFooter>
  </headerFooter>
  <legacyDrawing r:id="rId2"/>
</worksheet>
</file>

<file path=xl/worksheets/sheet28.xml><?xml version="1.0" encoding="utf-8"?>
<worksheet xmlns="http://schemas.openxmlformats.org/spreadsheetml/2006/main" xmlns:r="http://schemas.openxmlformats.org/officeDocument/2006/relationships">
  <sheetPr>
    <pageSetUpPr fitToPage="1"/>
  </sheetPr>
  <dimension ref="A1:M67"/>
  <sheetViews>
    <sheetView zoomScale="70" zoomScaleNormal="70" zoomScalePageLayoutView="0" workbookViewId="0" topLeftCell="A1">
      <selection activeCell="A1" sqref="A1"/>
    </sheetView>
  </sheetViews>
  <sheetFormatPr defaultColWidth="9.140625" defaultRowHeight="12.75"/>
  <cols>
    <col min="1" max="1" width="27.140625" style="0" customWidth="1"/>
    <col min="2" max="2" width="9.7109375" style="0" customWidth="1"/>
    <col min="3" max="3" width="25.7109375" style="0" customWidth="1"/>
    <col min="4" max="4" width="18.28125" style="0" customWidth="1"/>
    <col min="5" max="7" width="11.7109375" style="0" customWidth="1"/>
    <col min="8" max="8" width="3.7109375" style="0" customWidth="1"/>
    <col min="9" max="9" width="11.7109375" style="0" customWidth="1"/>
    <col min="10" max="10" width="3.7109375" style="0" customWidth="1"/>
    <col min="11" max="12" width="11.7109375" style="0" customWidth="1"/>
  </cols>
  <sheetData>
    <row r="1" spans="1:4" ht="15.75">
      <c r="A1" s="158" t="s">
        <v>674</v>
      </c>
      <c r="B1" s="158"/>
      <c r="C1" s="158"/>
      <c r="D1" s="158"/>
    </row>
    <row r="2" spans="1:4" ht="15.75">
      <c r="A2" s="158" t="s">
        <v>787</v>
      </c>
      <c r="B2" s="443"/>
      <c r="C2" s="443"/>
      <c r="D2" s="443"/>
    </row>
    <row r="3" spans="1:13" ht="38.25">
      <c r="A3" s="444" t="s">
        <v>396</v>
      </c>
      <c r="B3" s="445" t="s">
        <v>399</v>
      </c>
      <c r="C3" s="444" t="s">
        <v>397</v>
      </c>
      <c r="D3" s="444" t="s">
        <v>348</v>
      </c>
      <c r="E3" s="168" t="s">
        <v>432</v>
      </c>
      <c r="F3" s="189" t="s">
        <v>403</v>
      </c>
      <c r="G3" s="8" t="s">
        <v>104</v>
      </c>
      <c r="H3" s="8"/>
      <c r="I3" s="199" t="s">
        <v>404</v>
      </c>
      <c r="J3" s="87"/>
      <c r="K3" s="160" t="s">
        <v>415</v>
      </c>
      <c r="L3" s="41" t="s">
        <v>133</v>
      </c>
      <c r="M3" s="11"/>
    </row>
    <row r="4" spans="1:12" ht="12.75">
      <c r="A4" s="25" t="s">
        <v>410</v>
      </c>
      <c r="B4" t="s">
        <v>407</v>
      </c>
      <c r="C4" t="s">
        <v>398</v>
      </c>
      <c r="D4" t="s">
        <v>278</v>
      </c>
      <c r="E4" s="6">
        <v>0</v>
      </c>
      <c r="F4" s="42">
        <v>0</v>
      </c>
      <c r="G4" s="83" t="str">
        <f>IF(ISERROR(F4/E4),"n/a",F4/E4)</f>
        <v>n/a</v>
      </c>
      <c r="I4" s="29">
        <v>1.3578241878020127</v>
      </c>
      <c r="K4" s="42">
        <f>F4*I4</f>
        <v>0</v>
      </c>
      <c r="L4" s="83" t="str">
        <f>IF(ISERROR(K4/E4),"n/a",K4/E4)</f>
        <v>n/a</v>
      </c>
    </row>
    <row r="5" spans="4:12" ht="12.75">
      <c r="D5" t="s">
        <v>373</v>
      </c>
      <c r="E5" s="6">
        <v>0</v>
      </c>
      <c r="F5" s="42">
        <v>0</v>
      </c>
      <c r="G5" s="83" t="str">
        <f>IF(ISERROR(F5/E5),"n/a",F5/E5)</f>
        <v>n/a</v>
      </c>
      <c r="I5" s="29">
        <v>1.3578241878020127</v>
      </c>
      <c r="K5" s="42">
        <f>F5*I5</f>
        <v>0</v>
      </c>
      <c r="L5" s="83" t="str">
        <f>IF(ISERROR(K5/E5),"n/a",K5/E5)</f>
        <v>n/a</v>
      </c>
    </row>
    <row r="6" spans="4:12" ht="12.75">
      <c r="D6" t="s">
        <v>279</v>
      </c>
      <c r="E6" s="6">
        <v>0</v>
      </c>
      <c r="F6" s="42">
        <v>0</v>
      </c>
      <c r="G6" s="83" t="str">
        <f>IF(ISERROR(F6/E6),"n/a",F6/E6)</f>
        <v>n/a</v>
      </c>
      <c r="I6" s="29">
        <v>1.3578241878020127</v>
      </c>
      <c r="K6" s="42">
        <f>F6*I6</f>
        <v>0</v>
      </c>
      <c r="L6" s="83" t="str">
        <f>IF(ISERROR(K6/E6),"n/a",K6/E6)</f>
        <v>n/a</v>
      </c>
    </row>
    <row r="7" ht="12.75">
      <c r="E7" s="6"/>
    </row>
    <row r="8" spans="2:12" ht="12.75">
      <c r="B8" t="s">
        <v>476</v>
      </c>
      <c r="C8" t="s">
        <v>398</v>
      </c>
      <c r="D8" t="s">
        <v>278</v>
      </c>
      <c r="E8" s="6">
        <f>'Table 3.28-REC Volume'!H8</f>
        <v>46867.479404076854</v>
      </c>
      <c r="F8" s="42">
        <v>1784.6228215872602</v>
      </c>
      <c r="G8" s="83">
        <f>IF(ISERROR(F8/E8),"n/a",F8/E8)</f>
        <v>0.03807806274796211</v>
      </c>
      <c r="I8" s="29">
        <v>1.3578241878020127</v>
      </c>
      <c r="K8" s="42">
        <f>F8*I8</f>
        <v>2423.204033254658</v>
      </c>
      <c r="L8" s="83">
        <f>IF(ISERROR(K8/E8),"n/a",K8/E8)</f>
        <v>0.05170331462382573</v>
      </c>
    </row>
    <row r="9" spans="4:12" ht="12.75">
      <c r="D9" t="s">
        <v>373</v>
      </c>
      <c r="E9" s="6">
        <f>'Table 3.28-REC Volume'!H9</f>
        <v>1804.8600055687402</v>
      </c>
      <c r="F9" s="42">
        <v>68.72557254333374</v>
      </c>
      <c r="G9" s="83">
        <f>IF(ISERROR(F9/E9),"n/a",F9/E9)</f>
        <v>0.03807806274796211</v>
      </c>
      <c r="I9" s="29">
        <v>1.3578241878020127</v>
      </c>
      <c r="K9" s="42">
        <f>F9*I9</f>
        <v>93.31724471988045</v>
      </c>
      <c r="L9" s="83">
        <f>IF(ISERROR(K9/E9),"n/a",K9/E9)</f>
        <v>0.051703314623825734</v>
      </c>
    </row>
    <row r="10" spans="4:12" ht="12.75">
      <c r="D10" t="s">
        <v>279</v>
      </c>
      <c r="E10" s="6">
        <f>'Table 3.28-REC Volume'!H10</f>
        <v>28760.84113702572</v>
      </c>
      <c r="F10" s="42">
        <v>1095.157113499835</v>
      </c>
      <c r="G10" s="83">
        <f>IF(ISERROR(F10/E10),"n/a",F10/E10)</f>
        <v>0.038078062747962105</v>
      </c>
      <c r="I10" s="29">
        <v>1.3578241878020127</v>
      </c>
      <c r="K10" s="42">
        <f>F10*I10</f>
        <v>1487.0308181535102</v>
      </c>
      <c r="L10" s="83">
        <f>IF(ISERROR(K10/E10),"n/a",K10/E10)</f>
        <v>0.051703314623825714</v>
      </c>
    </row>
    <row r="11" ht="12.75">
      <c r="E11" s="6"/>
    </row>
    <row r="12" spans="2:12" ht="12.75">
      <c r="B12" t="s">
        <v>407</v>
      </c>
      <c r="C12" s="12" t="s">
        <v>48</v>
      </c>
      <c r="D12" t="s">
        <v>373</v>
      </c>
      <c r="E12" s="6">
        <v>0</v>
      </c>
      <c r="F12" s="42">
        <v>0</v>
      </c>
      <c r="G12" s="83" t="str">
        <f>IF(ISERROR(F12/E12),"n/a",F12/E12)</f>
        <v>n/a</v>
      </c>
      <c r="I12" s="29">
        <v>1.3578241878020127</v>
      </c>
      <c r="K12" s="42">
        <f>F12*I12</f>
        <v>0</v>
      </c>
      <c r="L12" s="83" t="str">
        <f>IF(ISERROR(K12/E12),"n/a",K12/E12)</f>
        <v>n/a</v>
      </c>
    </row>
    <row r="13" spans="3:12" ht="12.75">
      <c r="C13" s="12" t="s">
        <v>655</v>
      </c>
      <c r="D13" t="s">
        <v>279</v>
      </c>
      <c r="E13" s="6">
        <v>0</v>
      </c>
      <c r="F13" s="42">
        <v>0</v>
      </c>
      <c r="G13" s="83" t="str">
        <f>IF(ISERROR(F13/E13),"n/a",F13/E13)</f>
        <v>n/a</v>
      </c>
      <c r="I13" s="29">
        <v>1.3578241878020127</v>
      </c>
      <c r="K13" s="42">
        <f>F13*I13</f>
        <v>0</v>
      </c>
      <c r="L13" s="83" t="str">
        <f>IF(ISERROR(K13/E13),"n/a",K13/E13)</f>
        <v>n/a</v>
      </c>
    </row>
    <row r="14" ht="12.75">
      <c r="E14" s="6"/>
    </row>
    <row r="15" spans="2:12" ht="12.75">
      <c r="B15" t="s">
        <v>400</v>
      </c>
      <c r="C15" s="12" t="s">
        <v>48</v>
      </c>
      <c r="D15" t="s">
        <v>373</v>
      </c>
      <c r="E15" s="6">
        <f>'Table 3.28-REC Volume'!H15</f>
        <v>1521.4413406381052</v>
      </c>
      <c r="F15" s="42">
        <v>57.933538836161354</v>
      </c>
      <c r="G15" s="83">
        <f>IF(ISERROR(F15/E15),"n/a",F15/E15)</f>
        <v>0.038078062747962105</v>
      </c>
      <c r="I15" s="29">
        <v>1.3578241878020127</v>
      </c>
      <c r="K15" s="42">
        <f>F15*I15</f>
        <v>78.66356031670715</v>
      </c>
      <c r="L15" s="83">
        <f>IF(ISERROR(K15/E15),"n/a",K15/E15)</f>
        <v>0.051703314623825714</v>
      </c>
    </row>
    <row r="16" spans="2:12" ht="12.75">
      <c r="B16" s="283"/>
      <c r="C16" s="325" t="s">
        <v>48</v>
      </c>
      <c r="D16" s="283" t="s">
        <v>279</v>
      </c>
      <c r="E16" s="10">
        <f>'Table 3.28-REC Volume'!H16</f>
        <v>6991.73270084075</v>
      </c>
      <c r="F16" s="174">
        <v>266.23163649959264</v>
      </c>
      <c r="G16" s="172">
        <f>IF(ISERROR(F16/E16),"n/a",F16/E16)</f>
        <v>0.038078062747962105</v>
      </c>
      <c r="H16" s="283"/>
      <c r="I16" s="446">
        <v>1.3578241878020127</v>
      </c>
      <c r="J16" s="283"/>
      <c r="K16" s="174">
        <f>F16*I16</f>
        <v>361.4957555972601</v>
      </c>
      <c r="L16" s="172">
        <f>IF(ISERROR(K16/E16),"n/a",K16/E16)</f>
        <v>0.05170331462382573</v>
      </c>
    </row>
    <row r="17" spans="4:12" ht="12.75">
      <c r="D17" s="447" t="s">
        <v>406</v>
      </c>
      <c r="E17" s="6">
        <f>SUM(E4:E16)</f>
        <v>85946.35458815016</v>
      </c>
      <c r="F17" s="42">
        <f>SUM(F4:F16)</f>
        <v>3272.670682966183</v>
      </c>
      <c r="G17" s="83">
        <f>IF(ISERROR(F17/E17),"n/a",F17/E17)</f>
        <v>0.03807806274796211</v>
      </c>
      <c r="K17" s="42">
        <f>SUM(K4:K16)</f>
        <v>4443.711412042016</v>
      </c>
      <c r="L17" s="83">
        <f>IF(ISERROR(K17/E17),"n/a",K17/E17)</f>
        <v>0.05170331462382573</v>
      </c>
    </row>
    <row r="18" ht="4.5" customHeight="1"/>
    <row r="19" spans="1:12" ht="12.75">
      <c r="A19" s="25" t="s">
        <v>411</v>
      </c>
      <c r="B19" t="s">
        <v>407</v>
      </c>
      <c r="C19" t="s">
        <v>398</v>
      </c>
      <c r="D19" t="s">
        <v>278</v>
      </c>
      <c r="E19" s="6">
        <v>0</v>
      </c>
      <c r="F19" s="42">
        <v>0</v>
      </c>
      <c r="G19" s="83" t="str">
        <f>IF(ISERROR(F19/E19),"n/a",F19/E19)</f>
        <v>n/a</v>
      </c>
      <c r="I19" s="29">
        <v>1.3578241878020127</v>
      </c>
      <c r="K19" s="42">
        <f>F19*I19</f>
        <v>0</v>
      </c>
      <c r="L19" s="83" t="str">
        <f>IF(ISERROR(K19/E19),"n/a",K19/E19)</f>
        <v>n/a</v>
      </c>
    </row>
    <row r="20" spans="4:12" ht="12.75">
      <c r="D20" t="s">
        <v>373</v>
      </c>
      <c r="E20" s="6">
        <v>0</v>
      </c>
      <c r="F20" s="42">
        <v>0</v>
      </c>
      <c r="G20" s="83" t="str">
        <f>IF(ISERROR(F20/E20),"n/a",F20/E20)</f>
        <v>n/a</v>
      </c>
      <c r="I20" s="29">
        <v>1.3578241878020127</v>
      </c>
      <c r="K20" s="42">
        <f>F20*I20</f>
        <v>0</v>
      </c>
      <c r="L20" s="83" t="str">
        <f>IF(ISERROR(K20/E20),"n/a",K20/E20)</f>
        <v>n/a</v>
      </c>
    </row>
    <row r="21" spans="4:12" ht="12.75">
      <c r="D21" t="s">
        <v>279</v>
      </c>
      <c r="E21" s="6">
        <v>0</v>
      </c>
      <c r="F21" s="42">
        <v>0</v>
      </c>
      <c r="G21" s="83" t="str">
        <f>IF(ISERROR(F21/E21),"n/a",F21/E21)</f>
        <v>n/a</v>
      </c>
      <c r="I21" s="29">
        <v>1.3578241878020127</v>
      </c>
      <c r="K21" s="42">
        <f>F21*I21</f>
        <v>0</v>
      </c>
      <c r="L21" s="83" t="str">
        <f>IF(ISERROR(K21/E21),"n/a",K21/E21)</f>
        <v>n/a</v>
      </c>
    </row>
    <row r="22" ht="12.75">
      <c r="E22" s="6"/>
    </row>
    <row r="23" spans="2:12" ht="12.75">
      <c r="B23" t="s">
        <v>476</v>
      </c>
      <c r="C23" t="s">
        <v>398</v>
      </c>
      <c r="D23" t="s">
        <v>278</v>
      </c>
      <c r="E23" s="6">
        <f>'Table 3.28-REC Volume'!H23</f>
        <v>32386.629998458233</v>
      </c>
      <c r="F23" s="42">
        <v>1233.2201292763245</v>
      </c>
      <c r="G23" s="83">
        <f>IF(ISERROR(F23/E23),"n/a",F23/E23)</f>
        <v>0.038078062747962105</v>
      </c>
      <c r="I23" s="29">
        <v>1.3578241878020127</v>
      </c>
      <c r="K23" s="42">
        <f>F23*I23</f>
        <v>1674.4961204157185</v>
      </c>
      <c r="L23" s="83">
        <f>IF(ISERROR(K23/E23),"n/a",K23/E23)</f>
        <v>0.05170331462382573</v>
      </c>
    </row>
    <row r="24" spans="4:12" ht="12.75">
      <c r="D24" t="s">
        <v>373</v>
      </c>
      <c r="E24" s="6">
        <f>'Table 3.28-REC Volume'!H24</f>
        <v>1247.2045423096806</v>
      </c>
      <c r="F24" s="42">
        <v>47.491132821611366</v>
      </c>
      <c r="G24" s="83">
        <f>IF(ISERROR(F24/E24),"n/a",F24/E24)</f>
        <v>0.0380780627479621</v>
      </c>
      <c r="I24" s="29">
        <v>1.3578241878020127</v>
      </c>
      <c r="K24" s="42">
        <f>F24*I24</f>
        <v>64.48460885130196</v>
      </c>
      <c r="L24" s="83">
        <f>IF(ISERROR(K24/E24),"n/a",K24/E24)</f>
        <v>0.05170331462382571</v>
      </c>
    </row>
    <row r="25" spans="4:12" ht="12.75">
      <c r="D25" t="s">
        <v>279</v>
      </c>
      <c r="E25" s="6">
        <f>'Table 3.28-REC Volume'!H25</f>
        <v>19874.478683149824</v>
      </c>
      <c r="F25" s="42">
        <v>756.7816463800143</v>
      </c>
      <c r="G25" s="83">
        <f>IF(ISERROR(F25/E25),"n/a",F25/E25)</f>
        <v>0.038078062747962105</v>
      </c>
      <c r="I25" s="29">
        <v>1.3578241878020127</v>
      </c>
      <c r="K25" s="42">
        <f>F25*I25</f>
        <v>1027.576424339413</v>
      </c>
      <c r="L25" s="83">
        <f>IF(ISERROR(K25/E25),"n/a",K25/E25)</f>
        <v>0.05170331462382573</v>
      </c>
    </row>
    <row r="26" ht="12.75">
      <c r="E26" s="6"/>
    </row>
    <row r="27" spans="2:12" ht="12.75">
      <c r="B27" t="s">
        <v>407</v>
      </c>
      <c r="C27" s="12" t="s">
        <v>48</v>
      </c>
      <c r="D27" s="12" t="s">
        <v>433</v>
      </c>
      <c r="E27" s="6">
        <v>0</v>
      </c>
      <c r="F27" s="42">
        <v>0</v>
      </c>
      <c r="G27" s="83" t="str">
        <f>IF(ISERROR(F27/E27),"n/a",F27/E27)</f>
        <v>n/a</v>
      </c>
      <c r="I27" s="29">
        <v>1.3578241878020127</v>
      </c>
      <c r="K27" s="42">
        <f>F27*I27</f>
        <v>0</v>
      </c>
      <c r="L27" s="83" t="str">
        <f>IF(ISERROR(K27/E27),"n/a",K27/E27)</f>
        <v>n/a</v>
      </c>
    </row>
    <row r="28" spans="3:12" ht="12.75">
      <c r="C28" s="12" t="s">
        <v>655</v>
      </c>
      <c r="D28" t="s">
        <v>279</v>
      </c>
      <c r="E28" s="6">
        <v>0</v>
      </c>
      <c r="F28" s="42">
        <v>0</v>
      </c>
      <c r="G28" s="83" t="str">
        <f>IF(ISERROR(F28/E28),"n/a",F28/E28)</f>
        <v>n/a</v>
      </c>
      <c r="I28" s="29">
        <v>1.3578241878020127</v>
      </c>
      <c r="K28" s="42">
        <f>F28*I28</f>
        <v>0</v>
      </c>
      <c r="L28" s="83" t="str">
        <f>IF(ISERROR(K28/E28),"n/a",K28/E28)</f>
        <v>n/a</v>
      </c>
    </row>
    <row r="29" ht="12.75">
      <c r="E29" s="6"/>
    </row>
    <row r="30" spans="2:12" ht="12.75">
      <c r="B30" t="s">
        <v>400</v>
      </c>
      <c r="C30" s="12" t="s">
        <v>48</v>
      </c>
      <c r="D30" t="s">
        <v>373</v>
      </c>
      <c r="E30" s="6">
        <f>'Table 3.28-REC Volume'!H30</f>
        <v>1051.3549776973573</v>
      </c>
      <c r="F30" s="42">
        <v>40.03356081114228</v>
      </c>
      <c r="G30" s="83">
        <f>IF(ISERROR(F30/E30),"n/a",F30/E30)</f>
        <v>0.03807806274796211</v>
      </c>
      <c r="I30" s="29">
        <v>1.3578241878020127</v>
      </c>
      <c r="K30" s="42">
        <f>F30*I30</f>
        <v>54.35853719321175</v>
      </c>
      <c r="L30" s="83">
        <f>IF(ISERROR(K30/E30),"n/a",K30/E30)</f>
        <v>0.051703314623825734</v>
      </c>
    </row>
    <row r="31" spans="2:12" ht="12.75">
      <c r="B31" s="283"/>
      <c r="C31" s="325" t="s">
        <v>48</v>
      </c>
      <c r="D31" s="283" t="s">
        <v>279</v>
      </c>
      <c r="E31" s="10">
        <f>'Table 3.28-REC Volume'!H31</f>
        <v>4831.466571478415</v>
      </c>
      <c r="F31" s="174">
        <v>183.97288727343644</v>
      </c>
      <c r="G31" s="172">
        <f>IF(ISERROR(F31/E31),"n/a",F31/E31)</f>
        <v>0.038078062747962105</v>
      </c>
      <c r="H31" s="283"/>
      <c r="I31" s="446">
        <v>1.3578241878020127</v>
      </c>
      <c r="J31" s="283"/>
      <c r="K31" s="174">
        <f>F31*I31</f>
        <v>249.80283623964507</v>
      </c>
      <c r="L31" s="172">
        <f>IF(ISERROR(K31/E31),"n/a",K31/E31)</f>
        <v>0.05170331462382573</v>
      </c>
    </row>
    <row r="32" spans="4:12" ht="12.75">
      <c r="D32" s="447" t="s">
        <v>405</v>
      </c>
      <c r="E32" s="6">
        <f>SUM(E19:E31)</f>
        <v>59391.13477309351</v>
      </c>
      <c r="F32" s="42">
        <f>SUM(F19:F31)</f>
        <v>2261.499356562529</v>
      </c>
      <c r="G32" s="83">
        <f>IF(ISERROR(F32/E32),"n/a",F32/E32)</f>
        <v>0.03807806274796211</v>
      </c>
      <c r="K32" s="42">
        <f>SUM(K19:K31)</f>
        <v>3070.71852703929</v>
      </c>
      <c r="L32" s="83">
        <f>IF(ISERROR(K32/E32),"n/a",K32/E32)</f>
        <v>0.05170331462382573</v>
      </c>
    </row>
    <row r="33" ht="4.5" customHeight="1"/>
    <row r="34" spans="1:12" ht="12.75">
      <c r="A34" s="25" t="s">
        <v>412</v>
      </c>
      <c r="B34" t="s">
        <v>407</v>
      </c>
      <c r="C34" s="12" t="s">
        <v>409</v>
      </c>
      <c r="D34" s="12" t="s">
        <v>433</v>
      </c>
      <c r="E34" s="6">
        <v>0</v>
      </c>
      <c r="F34" s="42">
        <v>0</v>
      </c>
      <c r="G34" s="83" t="str">
        <f>IF(ISERROR(F34/E34),"n/a",F34/E34)</f>
        <v>n/a</v>
      </c>
      <c r="I34" s="29">
        <v>1.3578241878020127</v>
      </c>
      <c r="K34" s="42">
        <f>F34*I34</f>
        <v>0</v>
      </c>
      <c r="L34" s="83" t="str">
        <f>IF(ISERROR(K34/E34),"n/a",K34/E34)</f>
        <v>n/a</v>
      </c>
    </row>
    <row r="35" ht="12.75">
      <c r="E35" s="6"/>
    </row>
    <row r="36" spans="2:12" ht="12.75">
      <c r="B36" t="s">
        <v>400</v>
      </c>
      <c r="C36" t="s">
        <v>409</v>
      </c>
      <c r="D36" t="s">
        <v>373</v>
      </c>
      <c r="E36" s="6">
        <f>'Table 3.28-REC Volume'!H36</f>
        <v>55331.63993918853</v>
      </c>
      <c r="F36" s="42">
        <v>2106.921657552067</v>
      </c>
      <c r="G36" s="83">
        <f>IF(ISERROR(F36/E36),"n/a",F36/E36)</f>
        <v>0.038078062747962105</v>
      </c>
      <c r="I36" s="29">
        <v>1.3578241878020127</v>
      </c>
      <c r="K36" s="42">
        <f>F36*I36</f>
        <v>2860.8291884281057</v>
      </c>
      <c r="L36" s="83">
        <f>IF(ISERROR(K36/E36),"n/a",K36/E36)</f>
        <v>0.05170331462382572</v>
      </c>
    </row>
    <row r="37" spans="2:12" ht="12.75">
      <c r="B37" s="283"/>
      <c r="C37" s="283"/>
      <c r="D37" s="283" t="s">
        <v>279</v>
      </c>
      <c r="E37" s="10">
        <f>'Table 3.28-REC Volume'!H37</f>
        <v>96809.39310133518</v>
      </c>
      <c r="F37" s="174">
        <v>3686.314145104771</v>
      </c>
      <c r="G37" s="172">
        <f>IF(ISERROR(F37/E37),"n/a",F37/E37)</f>
        <v>0.038078062747962105</v>
      </c>
      <c r="H37" s="283"/>
      <c r="I37" s="446">
        <v>1.3578241878020127</v>
      </c>
      <c r="J37" s="283"/>
      <c r="K37" s="174">
        <f>F37*I37</f>
        <v>5005.366510059956</v>
      </c>
      <c r="L37" s="172">
        <f>IF(ISERROR(K37/E37),"n/a",K37/E37)</f>
        <v>0.05170331462382572</v>
      </c>
    </row>
    <row r="38" spans="4:12" ht="12.75">
      <c r="D38" s="447" t="s">
        <v>413</v>
      </c>
      <c r="E38" s="6">
        <f>SUM(E34:E37)</f>
        <v>152141.0330405237</v>
      </c>
      <c r="F38" s="42">
        <f>SUM(F34:F37)</f>
        <v>5793.235802656838</v>
      </c>
      <c r="G38" s="83">
        <f>IF(ISERROR(F38/E38),"n/a",F38/E38)</f>
        <v>0.03807806274796211</v>
      </c>
      <c r="K38" s="42">
        <f>SUM(K34:K37)</f>
        <v>7866.195698488062</v>
      </c>
      <c r="L38" s="83">
        <f>IF(ISERROR(K38/E38),"n/a",K38/E38)</f>
        <v>0.05170331462382572</v>
      </c>
    </row>
    <row r="39" spans="4:12" ht="4.5" customHeight="1">
      <c r="D39" s="447"/>
      <c r="E39" s="6"/>
      <c r="F39" s="6"/>
      <c r="G39" s="83"/>
      <c r="K39" s="42"/>
      <c r="L39" s="83"/>
    </row>
    <row r="40" spans="4:12" ht="12.75">
      <c r="D40" s="447" t="s">
        <v>428</v>
      </c>
      <c r="E40" s="6">
        <f>SUM(E17,E32,E38)</f>
        <v>297478.5224017674</v>
      </c>
      <c r="F40" s="42">
        <f>SUM(F17,F32,F38)</f>
        <v>11327.40584218555</v>
      </c>
      <c r="G40" s="83">
        <f>IF(ISERROR(F40/E40),"n/a",F40/E40)</f>
        <v>0.038078062747962105</v>
      </c>
      <c r="K40" s="42">
        <f>SUM(K17,K32,K38)</f>
        <v>15380.625637569367</v>
      </c>
      <c r="L40" s="83">
        <f>IF(ISERROR(K40/E40),"n/a",K40/E40)</f>
        <v>0.05170331462382572</v>
      </c>
    </row>
    <row r="41" spans="4:12" ht="4.5" customHeight="1">
      <c r="D41" s="447"/>
      <c r="E41" s="38"/>
      <c r="K41" s="449"/>
      <c r="L41" s="450"/>
    </row>
    <row r="42" spans="4:5" ht="12.75">
      <c r="D42" s="12" t="s">
        <v>418</v>
      </c>
      <c r="E42" s="64"/>
    </row>
    <row r="43" spans="4:12" ht="12.75">
      <c r="D43" s="14" t="s">
        <v>425</v>
      </c>
      <c r="E43" s="53">
        <v>0</v>
      </c>
      <c r="F43" s="42">
        <v>0</v>
      </c>
      <c r="G43" s="83" t="str">
        <f>IF(ISERROR(F43/E43),"n/a",F43/E43)</f>
        <v>n/a</v>
      </c>
      <c r="I43" s="29">
        <v>1.3578241878020127</v>
      </c>
      <c r="K43" s="42">
        <f>F43*I43</f>
        <v>0</v>
      </c>
      <c r="L43" s="83" t="str">
        <f>IF(ISERROR(K43/E43),"n/a",K43/E43)</f>
        <v>n/a</v>
      </c>
    </row>
    <row r="44" spans="4:12" ht="12.75">
      <c r="D44" s="451" t="s">
        <v>426</v>
      </c>
      <c r="E44" s="282">
        <v>0</v>
      </c>
      <c r="F44" s="174">
        <v>0</v>
      </c>
      <c r="G44" s="172" t="str">
        <f>IF(ISERROR(F44/E44),"n/a",F44/E44)</f>
        <v>n/a</v>
      </c>
      <c r="H44" s="283"/>
      <c r="I44" s="446">
        <v>1.3578241878020127</v>
      </c>
      <c r="J44" s="283"/>
      <c r="K44" s="174">
        <f>F44*I44</f>
        <v>0</v>
      </c>
      <c r="L44" s="172" t="str">
        <f>IF(ISERROR(K44/E44),"n/a",K44/E44)</f>
        <v>n/a</v>
      </c>
    </row>
    <row r="45" spans="4:12" ht="12.75">
      <c r="D45" s="447" t="s">
        <v>427</v>
      </c>
      <c r="E45" s="6">
        <f>SUM(E43:E44)</f>
        <v>0</v>
      </c>
      <c r="F45" s="42">
        <f>SUM(F43:F44)</f>
        <v>0</v>
      </c>
      <c r="G45" s="83" t="str">
        <f>IF(ISERROR(F45/E45),"n/a",F45/E45)</f>
        <v>n/a</v>
      </c>
      <c r="K45" s="42">
        <f>SUM(K43:K44)</f>
        <v>0</v>
      </c>
      <c r="L45" s="83" t="str">
        <f>IF(ISERROR(K45/E45),"n/a",K45/E45)</f>
        <v>n/a</v>
      </c>
    </row>
    <row r="46" ht="4.5" customHeight="1">
      <c r="D46" s="447"/>
    </row>
    <row r="47" spans="4:12" ht="12.75">
      <c r="D47" s="459" t="s">
        <v>429</v>
      </c>
      <c r="E47" s="6">
        <f>SUM(E40,E45)</f>
        <v>297478.5224017674</v>
      </c>
      <c r="F47" s="42">
        <f>SUM(F40,F45)</f>
        <v>11327.40584218555</v>
      </c>
      <c r="G47" s="83">
        <f>IF(ISERROR(F47/E47),"n/a",F47/E47)</f>
        <v>0.038078062747962105</v>
      </c>
      <c r="K47" s="42">
        <f>SUM(K40,K45)</f>
        <v>15380.625637569367</v>
      </c>
      <c r="L47" s="83">
        <f>IF(ISERROR(K47/E47),"n/a",K47/E47)</f>
        <v>0.05170331462382572</v>
      </c>
    </row>
    <row r="48" spans="4:12" ht="12.75">
      <c r="D48" s="447"/>
      <c r="E48" s="6"/>
      <c r="F48" s="42"/>
      <c r="G48" s="83"/>
      <c r="K48" s="42"/>
      <c r="L48" s="83"/>
    </row>
    <row r="49" spans="4:12" ht="12.75">
      <c r="D49" s="360" t="s">
        <v>476</v>
      </c>
      <c r="E49" s="362">
        <f>SUM(E8:E10,E23:E25)</f>
        <v>130941.49377058905</v>
      </c>
      <c r="F49" s="463">
        <f>SUM(F8:F10,F23:F25)</f>
        <v>4985.998416108379</v>
      </c>
      <c r="G49" s="464">
        <f>IF(ISERROR(F49/E49),"n/a",F49/E49)</f>
        <v>0.03807806274796211</v>
      </c>
      <c r="H49" s="361"/>
      <c r="I49" s="465">
        <v>1.3578241878020127</v>
      </c>
      <c r="J49" s="361"/>
      <c r="K49" s="463">
        <f>F49*I49</f>
        <v>6770.109249734483</v>
      </c>
      <c r="L49" s="466">
        <f>IF(ISERROR(K49/E49),"n/a",K49/E49)</f>
        <v>0.05170331462382573</v>
      </c>
    </row>
    <row r="50" spans="4:12" ht="12.75">
      <c r="D50" s="467" t="s">
        <v>400</v>
      </c>
      <c r="E50" s="10">
        <f>SUM(E15:E16,E30:E31,E36:E37)</f>
        <v>166537.02863117834</v>
      </c>
      <c r="F50" s="174">
        <f>SUM(F15:F16,F30:F31,F36:F37)</f>
        <v>6341.40742607717</v>
      </c>
      <c r="G50" s="172">
        <f>IF(ISERROR(F50/E50),"n/a",F50/E50)</f>
        <v>0.038078062747962105</v>
      </c>
      <c r="H50" s="283"/>
      <c r="I50" s="446">
        <v>1.3578241878020127</v>
      </c>
      <c r="J50" s="283"/>
      <c r="K50" s="174">
        <f>F50*I50</f>
        <v>8610.516387834887</v>
      </c>
      <c r="L50" s="468">
        <f>IF(ISERROR(K50/E50),"n/a",K50/E50)</f>
        <v>0.05170331462382573</v>
      </c>
    </row>
    <row r="51" ht="12.75" hidden="1">
      <c r="A51" s="25"/>
    </row>
    <row r="52" spans="1:12" ht="12.75" hidden="1">
      <c r="A52" s="25"/>
      <c r="D52" s="14" t="s">
        <v>191</v>
      </c>
      <c r="E52" s="143">
        <f>E17-SUM('Table 3.28-REC Volume'!H8:H10,'Table 3.28-REC Volume'!H15:H16)</f>
        <v>0</v>
      </c>
      <c r="F52" s="143">
        <v>0</v>
      </c>
      <c r="J52" s="14" t="s">
        <v>191</v>
      </c>
      <c r="K52" s="143">
        <f>K47/F47-I44</f>
        <v>0</v>
      </c>
      <c r="L52" s="143">
        <f>L47/G47-I44</f>
        <v>0</v>
      </c>
    </row>
    <row r="53" spans="1:6" ht="12.75" hidden="1">
      <c r="A53" s="25"/>
      <c r="E53" s="143">
        <f>E32-SUM('Table 3.28-REC Volume'!H23:H25,'Table 3.28-REC Volume'!H30:H31)</f>
        <v>0</v>
      </c>
      <c r="F53" s="143">
        <v>0</v>
      </c>
    </row>
    <row r="54" spans="5:6" ht="12.75" hidden="1">
      <c r="E54" s="143">
        <f>E38-SUM('Table 3.28-REC Volume'!H36:H37)</f>
        <v>0</v>
      </c>
      <c r="F54" s="143">
        <v>0</v>
      </c>
    </row>
    <row r="55" spans="5:6" ht="12.75" hidden="1">
      <c r="E55" s="240"/>
      <c r="F55" s="143">
        <v>0</v>
      </c>
    </row>
    <row r="56" spans="5:6" ht="12.75" hidden="1">
      <c r="E56" s="240"/>
      <c r="F56" s="240"/>
    </row>
    <row r="57" spans="1:3" ht="12.75">
      <c r="A57" s="141"/>
      <c r="B57" s="283"/>
      <c r="C57" s="293"/>
    </row>
    <row r="58" spans="1:3" ht="12.75">
      <c r="A58" s="11" t="s">
        <v>235</v>
      </c>
      <c r="C58" s="64"/>
    </row>
    <row r="59" spans="1:3" ht="12.75">
      <c r="A59" s="12" t="s">
        <v>699</v>
      </c>
      <c r="C59" s="64"/>
    </row>
    <row r="60" ht="12.75">
      <c r="A60" s="25" t="s">
        <v>810</v>
      </c>
    </row>
    <row r="61" ht="12.75">
      <c r="A61" s="25" t="s">
        <v>808</v>
      </c>
    </row>
    <row r="62" ht="12.75">
      <c r="A62" s="24" t="s">
        <v>414</v>
      </c>
    </row>
    <row r="63" ht="12.75">
      <c r="A63" s="25" t="s">
        <v>7</v>
      </c>
    </row>
    <row r="64" ht="12.75">
      <c r="A64" s="25" t="s">
        <v>656</v>
      </c>
    </row>
    <row r="65" ht="12.75">
      <c r="A65" s="25" t="s">
        <v>8</v>
      </c>
    </row>
    <row r="66" ht="12.75">
      <c r="A66" s="25" t="s">
        <v>657</v>
      </c>
    </row>
    <row r="67" ht="12.75">
      <c r="A67" s="12" t="s">
        <v>24</v>
      </c>
    </row>
  </sheetData>
  <sheetProtection/>
  <printOptions horizontalCentered="1"/>
  <pageMargins left="0.75" right="0.75" top="1" bottom="1" header="0.5" footer="0.5"/>
  <pageSetup fitToHeight="1" fitToWidth="1" horizontalDpi="600" verticalDpi="600" orientation="landscape" scale="62" r:id="rId1"/>
  <headerFooter alignWithMargins="0">
    <oddFooter>&amp;L&amp;F</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H60"/>
  <sheetViews>
    <sheetView zoomScale="70" zoomScaleNormal="70" zoomScalePageLayoutView="0" workbookViewId="0" topLeftCell="A1">
      <selection activeCell="A1" sqref="A1"/>
    </sheetView>
  </sheetViews>
  <sheetFormatPr defaultColWidth="9.140625" defaultRowHeight="12.75"/>
  <cols>
    <col min="1" max="1" width="27.140625" style="0" customWidth="1"/>
    <col min="2" max="2" width="9.7109375" style="0" customWidth="1"/>
    <col min="3" max="3" width="25.7109375" style="0" customWidth="1"/>
    <col min="4" max="4" width="18.28125" style="0" customWidth="1"/>
    <col min="5" max="8" width="11.7109375" style="0" customWidth="1"/>
  </cols>
  <sheetData>
    <row r="1" spans="1:4" ht="15.75">
      <c r="A1" s="158" t="s">
        <v>709</v>
      </c>
      <c r="B1" s="158"/>
      <c r="C1" s="158"/>
      <c r="D1" s="158"/>
    </row>
    <row r="2" spans="1:4" ht="15.75">
      <c r="A2" s="158" t="s">
        <v>787</v>
      </c>
      <c r="B2" s="443"/>
      <c r="C2" s="443"/>
      <c r="D2" s="443"/>
    </row>
    <row r="3" spans="1:8" ht="38.25">
      <c r="A3" s="444" t="s">
        <v>396</v>
      </c>
      <c r="B3" s="445" t="s">
        <v>399</v>
      </c>
      <c r="C3" s="444" t="s">
        <v>397</v>
      </c>
      <c r="D3" s="444" t="s">
        <v>348</v>
      </c>
      <c r="E3" s="168" t="s">
        <v>420</v>
      </c>
      <c r="F3" s="168" t="s">
        <v>421</v>
      </c>
      <c r="G3" s="168" t="s">
        <v>417</v>
      </c>
      <c r="H3" s="168" t="s">
        <v>416</v>
      </c>
    </row>
    <row r="4" spans="1:8" ht="12.75">
      <c r="A4" s="25" t="s">
        <v>422</v>
      </c>
      <c r="B4" t="s">
        <v>407</v>
      </c>
      <c r="C4" t="s">
        <v>398</v>
      </c>
      <c r="D4" t="s">
        <v>278</v>
      </c>
      <c r="E4" s="6">
        <v>468719.53137280367</v>
      </c>
      <c r="F4" s="234">
        <v>0.4</v>
      </c>
      <c r="G4" s="6">
        <f>E4*F4</f>
        <v>187487.81254912147</v>
      </c>
      <c r="H4" s="6">
        <f>E4*(1-F4)</f>
        <v>281231.71882368217</v>
      </c>
    </row>
    <row r="5" spans="4:8" ht="12.75">
      <c r="D5" t="s">
        <v>373</v>
      </c>
      <c r="E5" s="6">
        <v>149437.02447365766</v>
      </c>
      <c r="F5" s="234">
        <v>0.4</v>
      </c>
      <c r="G5" s="6">
        <f>E5*F5</f>
        <v>59774.80978946306</v>
      </c>
      <c r="H5" s="6">
        <f>E5*(1-F5)</f>
        <v>89662.2146841946</v>
      </c>
    </row>
    <row r="6" spans="4:8" ht="12.75">
      <c r="D6" t="s">
        <v>279</v>
      </c>
      <c r="E6" s="6">
        <v>8784.230197398618</v>
      </c>
      <c r="F6" s="234">
        <v>0.4</v>
      </c>
      <c r="G6" s="6">
        <f>E6*F6</f>
        <v>3513.6920789594474</v>
      </c>
      <c r="H6" s="6">
        <f>E6*(1-F6)</f>
        <v>5270.538118439171</v>
      </c>
    </row>
    <row r="7" spans="5:8" ht="12.75">
      <c r="E7" s="6"/>
      <c r="G7" s="6"/>
      <c r="H7" s="6"/>
    </row>
    <row r="8" spans="2:8" ht="12.75">
      <c r="B8" t="s">
        <v>408</v>
      </c>
      <c r="C8" t="s">
        <v>398</v>
      </c>
      <c r="D8" t="s">
        <v>278</v>
      </c>
      <c r="E8" s="6">
        <v>78112.46567346143</v>
      </c>
      <c r="F8" s="234">
        <v>0.4</v>
      </c>
      <c r="G8" s="6">
        <f>E8*F8</f>
        <v>31244.98626938457</v>
      </c>
      <c r="H8" s="6">
        <f>E8*(1-F8)</f>
        <v>46867.479404076854</v>
      </c>
    </row>
    <row r="9" spans="4:8" ht="12.75">
      <c r="D9" t="s">
        <v>373</v>
      </c>
      <c r="E9" s="6">
        <v>3008.1000092812337</v>
      </c>
      <c r="F9" s="234">
        <v>0.4</v>
      </c>
      <c r="G9" s="6">
        <f>E9*F9</f>
        <v>1203.2400037124935</v>
      </c>
      <c r="H9" s="6">
        <f>E9*(1-F9)</f>
        <v>1804.8600055687402</v>
      </c>
    </row>
    <row r="10" spans="4:8" ht="12.75">
      <c r="D10" t="s">
        <v>279</v>
      </c>
      <c r="E10" s="6">
        <v>47934.7352283762</v>
      </c>
      <c r="F10" s="234">
        <v>0.4</v>
      </c>
      <c r="G10" s="6">
        <f>E10*F10</f>
        <v>19173.89409135048</v>
      </c>
      <c r="H10" s="6">
        <f>E10*(1-F10)</f>
        <v>28760.84113702572</v>
      </c>
    </row>
    <row r="11" spans="5:8" ht="12.75">
      <c r="E11" s="6"/>
      <c r="G11" s="6"/>
      <c r="H11" s="6"/>
    </row>
    <row r="12" spans="2:8" ht="12.75">
      <c r="B12" t="s">
        <v>407</v>
      </c>
      <c r="C12" s="12" t="s">
        <v>49</v>
      </c>
      <c r="D12" t="s">
        <v>373</v>
      </c>
      <c r="E12" s="6">
        <v>16883.994347734744</v>
      </c>
      <c r="F12" s="234">
        <v>0.4</v>
      </c>
      <c r="G12" s="6">
        <f>E12*F12</f>
        <v>6753.597739093898</v>
      </c>
      <c r="H12" s="6">
        <f>E12*(1-F12)</f>
        <v>10130.396608640845</v>
      </c>
    </row>
    <row r="13" spans="3:8" ht="12.75">
      <c r="C13" s="12" t="s">
        <v>660</v>
      </c>
      <c r="D13" t="s">
        <v>279</v>
      </c>
      <c r="E13" s="6">
        <v>562924.4156369121</v>
      </c>
      <c r="F13" s="234">
        <v>0.4</v>
      </c>
      <c r="G13" s="6">
        <f>E13*F13</f>
        <v>225169.76625476487</v>
      </c>
      <c r="H13" s="6">
        <f>E13*(1-F13)</f>
        <v>337754.64938214724</v>
      </c>
    </row>
    <row r="14" spans="5:8" ht="12.75">
      <c r="E14" s="6"/>
      <c r="F14" s="234"/>
      <c r="G14" s="6"/>
      <c r="H14" s="6"/>
    </row>
    <row r="15" spans="2:8" ht="12.75">
      <c r="B15" t="s">
        <v>400</v>
      </c>
      <c r="C15" s="12" t="s">
        <v>49</v>
      </c>
      <c r="D15" t="s">
        <v>373</v>
      </c>
      <c r="E15" s="6">
        <v>2535.7355677301753</v>
      </c>
      <c r="F15" s="234">
        <v>0.4</v>
      </c>
      <c r="G15" s="6">
        <f>E15*F15</f>
        <v>1014.2942270920702</v>
      </c>
      <c r="H15" s="6">
        <f>E15*(1-F15)</f>
        <v>1521.4413406381052</v>
      </c>
    </row>
    <row r="16" spans="2:8" ht="12.75">
      <c r="B16" s="283"/>
      <c r="C16" s="325" t="s">
        <v>49</v>
      </c>
      <c r="D16" s="283" t="s">
        <v>279</v>
      </c>
      <c r="E16" s="10">
        <v>11652.887834734584</v>
      </c>
      <c r="F16" s="448">
        <v>0.4</v>
      </c>
      <c r="G16" s="10">
        <f>E16*F16</f>
        <v>4661.155133893833</v>
      </c>
      <c r="H16" s="10">
        <f>E16*(1-F16)</f>
        <v>6991.73270084075</v>
      </c>
    </row>
    <row r="17" spans="4:8" ht="12.75">
      <c r="D17" s="447" t="s">
        <v>406</v>
      </c>
      <c r="E17" s="6">
        <f>SUM(E4:E16)</f>
        <v>1349993.1203420903</v>
      </c>
      <c r="G17" s="6">
        <f>SUM(G4:G16)</f>
        <v>539997.2481368362</v>
      </c>
      <c r="H17" s="6">
        <f>SUM(H4:H16)</f>
        <v>809995.8722052542</v>
      </c>
    </row>
    <row r="18" ht="4.5" customHeight="1"/>
    <row r="19" spans="1:8" ht="12.75">
      <c r="A19" s="25" t="s">
        <v>423</v>
      </c>
      <c r="B19" t="s">
        <v>407</v>
      </c>
      <c r="C19" t="s">
        <v>398</v>
      </c>
      <c r="D19" t="s">
        <v>278</v>
      </c>
      <c r="E19" s="6">
        <v>252387.43996997125</v>
      </c>
      <c r="F19" s="234">
        <v>0.23</v>
      </c>
      <c r="G19" s="6">
        <f>E19*F19</f>
        <v>58049.11119309339</v>
      </c>
      <c r="H19" s="6">
        <f>E19*(1-F19)</f>
        <v>194338.32877687787</v>
      </c>
    </row>
    <row r="20" spans="4:8" ht="12.75">
      <c r="D20" t="s">
        <v>373</v>
      </c>
      <c r="E20" s="6">
        <v>80466.09010120027</v>
      </c>
      <c r="F20" s="234">
        <v>0.23</v>
      </c>
      <c r="G20" s="6">
        <f>E20*F20</f>
        <v>18507.200723276062</v>
      </c>
      <c r="H20" s="6">
        <f>E20*(1-F20)</f>
        <v>61958.88937792421</v>
      </c>
    </row>
    <row r="21" spans="4:8" ht="12.75">
      <c r="D21" t="s">
        <v>279</v>
      </c>
      <c r="E21" s="6">
        <v>4729.970106291564</v>
      </c>
      <c r="F21" s="234">
        <v>0.23</v>
      </c>
      <c r="G21" s="6">
        <f>E21*F21</f>
        <v>1087.8931244470598</v>
      </c>
      <c r="H21" s="6">
        <f>E21*(1-F21)</f>
        <v>3642.076981844504</v>
      </c>
    </row>
    <row r="22" spans="5:8" ht="12.75">
      <c r="E22" s="6"/>
      <c r="F22" s="6"/>
      <c r="G22" s="6"/>
      <c r="H22" s="6"/>
    </row>
    <row r="23" spans="2:8" ht="12.75">
      <c r="B23" t="s">
        <v>408</v>
      </c>
      <c r="C23" t="s">
        <v>398</v>
      </c>
      <c r="D23" t="s">
        <v>278</v>
      </c>
      <c r="E23" s="6">
        <v>42060.558439556145</v>
      </c>
      <c r="F23" s="234">
        <v>0.23</v>
      </c>
      <c r="G23" s="6">
        <f>E23*F23</f>
        <v>9673.928441097914</v>
      </c>
      <c r="H23" s="6">
        <f>E23*(1-F23)</f>
        <v>32386.629998458233</v>
      </c>
    </row>
    <row r="24" spans="4:8" ht="12.75">
      <c r="D24" t="s">
        <v>373</v>
      </c>
      <c r="E24" s="6">
        <v>1619.746158843741</v>
      </c>
      <c r="F24" s="234">
        <v>0.23</v>
      </c>
      <c r="G24" s="6">
        <f>E24*F24</f>
        <v>372.54161653406044</v>
      </c>
      <c r="H24" s="6">
        <f>E24*(1-F24)</f>
        <v>1247.2045423096806</v>
      </c>
    </row>
    <row r="25" spans="4:8" ht="12.75">
      <c r="D25" t="s">
        <v>279</v>
      </c>
      <c r="E25" s="6">
        <v>25811.011276817953</v>
      </c>
      <c r="F25" s="234">
        <v>0.23</v>
      </c>
      <c r="G25" s="6">
        <f>E25*F25</f>
        <v>5936.532593668129</v>
      </c>
      <c r="H25" s="6">
        <f>E25*(1-F25)</f>
        <v>19874.478683149824</v>
      </c>
    </row>
    <row r="26" spans="5:8" ht="12.75">
      <c r="E26" s="6"/>
      <c r="F26" s="6"/>
      <c r="G26" s="6"/>
      <c r="H26" s="6"/>
    </row>
    <row r="27" spans="2:8" ht="12.75">
      <c r="B27" t="s">
        <v>407</v>
      </c>
      <c r="C27" s="12" t="s">
        <v>49</v>
      </c>
      <c r="D27" t="s">
        <v>373</v>
      </c>
      <c r="E27" s="6">
        <v>9091.38157185717</v>
      </c>
      <c r="F27" s="234">
        <v>0.23</v>
      </c>
      <c r="G27" s="6">
        <f>E27*F27</f>
        <v>2091.017761527149</v>
      </c>
      <c r="H27" s="6">
        <f>E27*(1-F27)</f>
        <v>7000.363810330021</v>
      </c>
    </row>
    <row r="28" spans="3:8" ht="12.75">
      <c r="C28" s="12" t="s">
        <v>661</v>
      </c>
      <c r="D28" t="s">
        <v>279</v>
      </c>
      <c r="E28" s="6">
        <v>0</v>
      </c>
      <c r="F28" s="234">
        <v>0.23</v>
      </c>
      <c r="G28" s="6">
        <f>E28*F28</f>
        <v>0</v>
      </c>
      <c r="H28" s="6">
        <f>E28*(1-F28)</f>
        <v>0</v>
      </c>
    </row>
    <row r="29" spans="5:8" ht="12.75">
      <c r="E29" s="6"/>
      <c r="F29" s="234"/>
      <c r="G29" s="6"/>
      <c r="H29" s="6"/>
    </row>
    <row r="30" spans="2:8" ht="12.75">
      <c r="B30" t="s">
        <v>400</v>
      </c>
      <c r="C30" s="12" t="s">
        <v>49</v>
      </c>
      <c r="D30" t="s">
        <v>373</v>
      </c>
      <c r="E30" s="6">
        <v>1365.396074931633</v>
      </c>
      <c r="F30" s="234">
        <v>0.23</v>
      </c>
      <c r="G30" s="6">
        <f>E30*F30</f>
        <v>314.0410972342756</v>
      </c>
      <c r="H30" s="6">
        <f>E30*(1-F30)</f>
        <v>1051.3549776973573</v>
      </c>
    </row>
    <row r="31" spans="2:8" ht="12.75">
      <c r="B31" s="283"/>
      <c r="C31" s="325" t="s">
        <v>49</v>
      </c>
      <c r="D31" s="283" t="s">
        <v>279</v>
      </c>
      <c r="E31" s="10">
        <v>6274.631911010929</v>
      </c>
      <c r="F31" s="448">
        <v>0.23</v>
      </c>
      <c r="G31" s="10">
        <f>E31*F31</f>
        <v>1443.1653395325136</v>
      </c>
      <c r="H31" s="10">
        <f>E31*(1-F31)</f>
        <v>4831.466571478415</v>
      </c>
    </row>
    <row r="32" spans="4:8" ht="12.75">
      <c r="D32" s="447" t="s">
        <v>405</v>
      </c>
      <c r="E32" s="6">
        <f>SUM(E19:E31)</f>
        <v>423806.2256104807</v>
      </c>
      <c r="F32" s="6"/>
      <c r="G32" s="6">
        <f>SUM(G19:G31)</f>
        <v>97475.43189041056</v>
      </c>
      <c r="H32" s="6">
        <f>SUM(H19:H31)</f>
        <v>326330.79372007016</v>
      </c>
    </row>
    <row r="33" ht="4.5" customHeight="1"/>
    <row r="34" spans="1:8" ht="12.75">
      <c r="A34" s="25" t="s">
        <v>424</v>
      </c>
      <c r="B34" t="s">
        <v>407</v>
      </c>
      <c r="C34" s="12" t="s">
        <v>409</v>
      </c>
      <c r="D34" t="s">
        <v>373</v>
      </c>
      <c r="E34" s="6">
        <v>926801.9049398521</v>
      </c>
      <c r="F34" s="234">
        <v>0.4</v>
      </c>
      <c r="G34" s="6">
        <f>E34*F34</f>
        <v>370720.76197594084</v>
      </c>
      <c r="H34" s="6">
        <f>E34*(1-F34)</f>
        <v>556081.1429639112</v>
      </c>
    </row>
    <row r="35" spans="5:8" ht="12.75">
      <c r="E35" s="6"/>
      <c r="F35" s="6"/>
      <c r="G35" s="6"/>
      <c r="H35" s="6"/>
    </row>
    <row r="36" spans="2:8" ht="12.75">
      <c r="B36" t="s">
        <v>400</v>
      </c>
      <c r="C36" t="s">
        <v>409</v>
      </c>
      <c r="D36" t="s">
        <v>373</v>
      </c>
      <c r="E36" s="6">
        <v>92219.39989864755</v>
      </c>
      <c r="F36" s="234">
        <v>0.4</v>
      </c>
      <c r="G36" s="6">
        <f>E36*F36</f>
        <v>36887.75995945902</v>
      </c>
      <c r="H36" s="6">
        <f>E36*(1-F36)</f>
        <v>55331.63993918853</v>
      </c>
    </row>
    <row r="37" spans="2:8" ht="12.75">
      <c r="B37" s="283"/>
      <c r="C37" s="283"/>
      <c r="D37" s="283" t="s">
        <v>279</v>
      </c>
      <c r="E37" s="10">
        <v>161348.98850222531</v>
      </c>
      <c r="F37" s="448">
        <v>0.4</v>
      </c>
      <c r="G37" s="10">
        <f>E37*F37</f>
        <v>64539.59540089013</v>
      </c>
      <c r="H37" s="10">
        <f>E37*(1-F37)</f>
        <v>96809.39310133518</v>
      </c>
    </row>
    <row r="38" spans="4:8" ht="12.75">
      <c r="D38" s="447" t="s">
        <v>413</v>
      </c>
      <c r="E38" s="6">
        <f>SUM(E34:E37)</f>
        <v>1180370.293340725</v>
      </c>
      <c r="F38" s="6"/>
      <c r="G38" s="6">
        <f>SUM(G34:G37)</f>
        <v>472148.11733628996</v>
      </c>
      <c r="H38" s="6">
        <f>SUM(H34:H37)</f>
        <v>708222.1760044348</v>
      </c>
    </row>
    <row r="39" spans="4:8" ht="4.5" customHeight="1">
      <c r="D39" s="447"/>
      <c r="E39" s="6"/>
      <c r="F39" s="6"/>
      <c r="G39" s="6"/>
      <c r="H39" s="6"/>
    </row>
    <row r="40" spans="4:8" ht="12.75">
      <c r="D40" s="447" t="s">
        <v>428</v>
      </c>
      <c r="E40" s="6">
        <f>SUM(E17,E32,E38)</f>
        <v>2954169.639293296</v>
      </c>
      <c r="F40" s="6"/>
      <c r="G40" s="6">
        <f>SUM(G17,G32,G38)</f>
        <v>1109620.797363537</v>
      </c>
      <c r="H40" s="6">
        <f>SUM(H17,H32,H38)</f>
        <v>1844548.8419297594</v>
      </c>
    </row>
    <row r="41" spans="4:8" ht="4.5" customHeight="1">
      <c r="D41" s="447"/>
      <c r="E41" s="6"/>
      <c r="F41" s="6"/>
      <c r="G41" s="6"/>
      <c r="H41" s="6"/>
    </row>
    <row r="42" spans="4:8" ht="12.75">
      <c r="D42" s="12" t="s">
        <v>418</v>
      </c>
      <c r="E42" s="6"/>
      <c r="F42" s="6"/>
      <c r="G42" s="6"/>
      <c r="H42" s="6"/>
    </row>
    <row r="43" spans="4:8" ht="12.75">
      <c r="D43" s="14" t="s">
        <v>425</v>
      </c>
      <c r="E43" s="6"/>
      <c r="F43" s="6"/>
      <c r="G43" s="6"/>
      <c r="H43" s="6">
        <v>36972.984</v>
      </c>
    </row>
    <row r="44" spans="4:8" ht="12.75">
      <c r="D44" s="451" t="s">
        <v>426</v>
      </c>
      <c r="E44" s="10"/>
      <c r="F44" s="10"/>
      <c r="G44" s="10"/>
      <c r="H44" s="10">
        <v>14214.64362563584</v>
      </c>
    </row>
    <row r="45" spans="4:8" ht="12.75">
      <c r="D45" s="447" t="s">
        <v>427</v>
      </c>
      <c r="E45" s="6"/>
      <c r="F45" s="6"/>
      <c r="G45" s="6"/>
      <c r="H45" s="6">
        <f>SUM(H43:H44)</f>
        <v>51187.62762563584</v>
      </c>
    </row>
    <row r="46" spans="4:8" ht="4.5" customHeight="1">
      <c r="D46" s="447"/>
      <c r="E46" s="6"/>
      <c r="F46" s="6"/>
      <c r="G46" s="6"/>
      <c r="H46" s="6"/>
    </row>
    <row r="47" spans="4:8" ht="12.75">
      <c r="D47" s="459" t="s">
        <v>429</v>
      </c>
      <c r="E47" s="6">
        <f>E40+E45</f>
        <v>2954169.639293296</v>
      </c>
      <c r="F47" s="6"/>
      <c r="G47" s="6">
        <f>G40+G45</f>
        <v>1109620.797363537</v>
      </c>
      <c r="H47" s="6">
        <f>H40+H45</f>
        <v>1895736.4695553952</v>
      </c>
    </row>
    <row r="48" spans="4:8" ht="12.75" hidden="1">
      <c r="D48" s="447"/>
      <c r="E48" s="6"/>
      <c r="F48" s="6"/>
      <c r="G48" s="6"/>
      <c r="H48" s="6"/>
    </row>
    <row r="49" spans="4:8" ht="12.75" hidden="1">
      <c r="D49" s="447" t="s">
        <v>191</v>
      </c>
      <c r="E49" s="143">
        <v>0</v>
      </c>
      <c r="F49" s="240"/>
      <c r="G49" s="143">
        <v>0</v>
      </c>
      <c r="H49" s="143">
        <v>0</v>
      </c>
    </row>
    <row r="50" spans="4:8" ht="12.75" hidden="1">
      <c r="D50" s="447"/>
      <c r="E50" s="143">
        <v>0</v>
      </c>
      <c r="F50" s="240"/>
      <c r="G50" s="143">
        <v>0</v>
      </c>
      <c r="H50" s="143">
        <v>0</v>
      </c>
    </row>
    <row r="51" spans="4:8" ht="12.75" hidden="1">
      <c r="D51" s="447"/>
      <c r="E51" s="143">
        <v>0</v>
      </c>
      <c r="F51" s="240"/>
      <c r="G51" s="143">
        <v>0</v>
      </c>
      <c r="H51" s="143">
        <v>0</v>
      </c>
    </row>
    <row r="52" spans="4:8" ht="12.75" hidden="1">
      <c r="D52" s="447"/>
      <c r="E52" s="6"/>
      <c r="F52" s="6"/>
      <c r="G52" s="6"/>
      <c r="H52" s="143">
        <v>0</v>
      </c>
    </row>
    <row r="53" spans="1:8" ht="12.75">
      <c r="A53" s="141"/>
      <c r="B53" s="283"/>
      <c r="C53" s="293"/>
      <c r="D53" s="293"/>
      <c r="E53" s="293"/>
      <c r="F53" s="38"/>
      <c r="G53" s="38"/>
      <c r="H53" s="38"/>
    </row>
    <row r="54" spans="1:8" ht="12.75">
      <c r="A54" s="11" t="s">
        <v>235</v>
      </c>
      <c r="C54" s="64"/>
      <c r="D54" s="64"/>
      <c r="E54" s="64"/>
      <c r="F54" s="64"/>
      <c r="G54" s="64"/>
      <c r="H54" s="64"/>
    </row>
    <row r="55" spans="1:8" ht="12.75">
      <c r="A55" s="25" t="s">
        <v>811</v>
      </c>
      <c r="C55" s="64"/>
      <c r="D55" s="64"/>
      <c r="E55" s="64"/>
      <c r="F55" s="64"/>
      <c r="G55" s="64"/>
      <c r="H55" s="64"/>
    </row>
    <row r="56" ht="12.75">
      <c r="A56" s="25" t="s">
        <v>430</v>
      </c>
    </row>
    <row r="57" ht="12.75">
      <c r="A57" s="25" t="s">
        <v>50</v>
      </c>
    </row>
    <row r="58" ht="12.75">
      <c r="A58" s="25" t="s">
        <v>659</v>
      </c>
    </row>
    <row r="59" ht="12.75">
      <c r="A59" s="25" t="s">
        <v>38</v>
      </c>
    </row>
    <row r="60" ht="12.75">
      <c r="A60" s="25" t="s">
        <v>662</v>
      </c>
    </row>
  </sheetData>
  <sheetProtection/>
  <printOptions horizontalCentered="1"/>
  <pageMargins left="0.75" right="0.75" top="1" bottom="1" header="0.5" footer="0.5"/>
  <pageSetup fitToHeight="1" fitToWidth="1" horizontalDpi="600" verticalDpi="600" orientation="landscape" scale="69" r:id="rId1"/>
  <headerFooter alignWithMargins="0">
    <oddFooter>&amp;L&amp;F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51"/>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75">
      <c r="A1" s="157" t="s">
        <v>547</v>
      </c>
      <c r="B1" s="19"/>
      <c r="C1" s="19"/>
      <c r="D1" s="19"/>
      <c r="E1" s="19"/>
      <c r="F1" s="19"/>
      <c r="G1" s="19"/>
      <c r="H1" s="19"/>
      <c r="I1" s="19"/>
      <c r="J1" s="19"/>
    </row>
    <row r="2" spans="1:10" s="13" customFormat="1" ht="15.75">
      <c r="A2" s="158" t="s">
        <v>787</v>
      </c>
      <c r="B2" s="19"/>
      <c r="C2" s="19"/>
      <c r="D2" s="19"/>
      <c r="E2" s="19"/>
      <c r="F2" s="19"/>
      <c r="G2" s="19"/>
      <c r="H2" s="19"/>
      <c r="I2" s="19"/>
      <c r="J2" s="19"/>
    </row>
    <row r="3" spans="2:10" ht="25.5">
      <c r="B3" s="168" t="s">
        <v>109</v>
      </c>
      <c r="C3" s="168"/>
      <c r="D3" s="169" t="s">
        <v>104</v>
      </c>
      <c r="E3" s="169"/>
      <c r="F3" s="168" t="s">
        <v>110</v>
      </c>
      <c r="G3" s="168"/>
      <c r="H3" s="170" t="s">
        <v>97</v>
      </c>
      <c r="I3" s="170"/>
      <c r="J3" s="171" t="s">
        <v>105</v>
      </c>
    </row>
    <row r="4" spans="1:10" ht="12.75" customHeight="1">
      <c r="A4" s="333"/>
      <c r="B4" s="27"/>
      <c r="C4" s="27"/>
      <c r="D4" s="27"/>
      <c r="E4" s="27"/>
      <c r="F4" s="27"/>
      <c r="G4" s="27"/>
      <c r="H4" s="27"/>
      <c r="I4" s="27"/>
      <c r="J4" s="27"/>
    </row>
    <row r="5" spans="1:10" ht="12.75" customHeight="1">
      <c r="A5" s="493" t="s">
        <v>574</v>
      </c>
      <c r="B5" s="32"/>
      <c r="C5" s="27"/>
      <c r="D5" s="488"/>
      <c r="E5" s="27"/>
      <c r="F5" s="489"/>
      <c r="G5" s="27"/>
      <c r="H5" s="27"/>
      <c r="I5" s="27"/>
      <c r="J5" s="27"/>
    </row>
    <row r="6" spans="1:17" ht="12.75" customHeight="1">
      <c r="A6" s="353" t="s">
        <v>524</v>
      </c>
      <c r="B6" s="32">
        <f>'Table 3.3-PARS Fwd Summary'!B10</f>
        <v>572690.9759999999</v>
      </c>
      <c r="C6" s="241"/>
      <c r="D6" s="488">
        <f>F6/B6</f>
        <v>0.08736201701508171</v>
      </c>
      <c r="E6" s="27"/>
      <c r="F6" s="494">
        <f>'Table 3.3-PARS Fwd Summary'!F10</f>
        <v>50031.43878969574</v>
      </c>
      <c r="G6" s="241"/>
      <c r="H6" s="134">
        <f>B6/$B$34</f>
        <v>0.5763369597179703</v>
      </c>
      <c r="I6" s="27"/>
      <c r="J6" s="500">
        <f>D6*H6</f>
        <v>0.05034995928130178</v>
      </c>
      <c r="M6" s="27"/>
      <c r="N6" s="27"/>
      <c r="O6" s="27"/>
      <c r="P6" s="27"/>
      <c r="Q6" s="27"/>
    </row>
    <row r="7" spans="1:10" ht="12.75" customHeight="1">
      <c r="A7" s="353" t="s">
        <v>525</v>
      </c>
      <c r="B7" s="32">
        <f>'Table 3.3-PARS Fwd Summary'!B20</f>
        <v>308372.0640000001</v>
      </c>
      <c r="C7" s="241"/>
      <c r="D7" s="488">
        <f>F7/B7</f>
        <v>0.15825613145152528</v>
      </c>
      <c r="E7" s="27"/>
      <c r="F7" s="494">
        <f>'Table 3.3-PARS Fwd Summary'!F20</f>
        <v>48801.76989636218</v>
      </c>
      <c r="G7" s="241"/>
      <c r="H7" s="134">
        <f>B7/$B$34</f>
        <v>0.3103352860019841</v>
      </c>
      <c r="I7" s="27"/>
      <c r="J7" s="500">
        <f>D7*H7</f>
        <v>0.04911246181557669</v>
      </c>
    </row>
    <row r="8" spans="1:10" ht="12.75" customHeight="1">
      <c r="A8" s="353" t="s">
        <v>102</v>
      </c>
      <c r="B8" s="32">
        <f>SUM(B6:B7)</f>
        <v>881063.04</v>
      </c>
      <c r="C8" s="27"/>
      <c r="D8" s="488">
        <f>F8/B8</f>
        <v>0.11217495706783695</v>
      </c>
      <c r="E8" s="27"/>
      <c r="F8" s="494">
        <f>SUM(F6:F7)</f>
        <v>98833.20868605791</v>
      </c>
      <c r="G8" s="27"/>
      <c r="H8" s="134">
        <f>B8/$B$34</f>
        <v>0.8866722457199545</v>
      </c>
      <c r="I8" s="27"/>
      <c r="J8" s="500">
        <f>SUM(J6:J7)</f>
        <v>0.09946242109687847</v>
      </c>
    </row>
    <row r="9" spans="1:10" ht="4.5" customHeight="1">
      <c r="A9" s="353"/>
      <c r="B9" s="32"/>
      <c r="C9" s="27"/>
      <c r="D9" s="27"/>
      <c r="E9" s="27"/>
      <c r="F9" s="494"/>
      <c r="G9" s="27"/>
      <c r="H9" s="486"/>
      <c r="I9" s="27"/>
      <c r="J9" s="500"/>
    </row>
    <row r="10" spans="1:10" ht="12.75" customHeight="1">
      <c r="A10" s="353" t="s">
        <v>517</v>
      </c>
      <c r="B10" s="32"/>
      <c r="C10" s="27"/>
      <c r="D10" s="27"/>
      <c r="E10" s="27"/>
      <c r="F10" s="494"/>
      <c r="G10" s="27"/>
      <c r="H10" s="486"/>
      <c r="I10" s="27"/>
      <c r="J10" s="500"/>
    </row>
    <row r="11" spans="1:10" ht="12.75" customHeight="1">
      <c r="A11" s="501" t="s">
        <v>320</v>
      </c>
      <c r="B11" s="32">
        <f>'Table 3.3-PARS Fwd Summary'!B23</f>
        <v>881063.04</v>
      </c>
      <c r="C11" s="241"/>
      <c r="D11" s="488">
        <f>F11/B11</f>
        <v>0.0665056723174802</v>
      </c>
      <c r="E11" s="27"/>
      <c r="F11" s="494">
        <f>'Table 3.3-PARS Fwd Summary'!F23</f>
        <v>58595.68982928295</v>
      </c>
      <c r="G11" s="241"/>
      <c r="H11" s="134">
        <f>B11/$B$34</f>
        <v>0.8866722457199545</v>
      </c>
      <c r="I11" s="27"/>
      <c r="J11" s="500">
        <f>D11*H11</f>
        <v>0.05896873382685558</v>
      </c>
    </row>
    <row r="12" spans="1:10" ht="12.75" customHeight="1">
      <c r="A12" s="501" t="s">
        <v>99</v>
      </c>
      <c r="B12" s="32">
        <f>'Table 3.3-PARS Fwd Summary'!B24</f>
        <v>0</v>
      </c>
      <c r="C12" s="241"/>
      <c r="D12" s="488">
        <v>0</v>
      </c>
      <c r="E12" s="27"/>
      <c r="F12" s="494">
        <f>'Table 3.3-PARS Fwd Summary'!F24</f>
        <v>0</v>
      </c>
      <c r="G12" s="27"/>
      <c r="H12" s="134">
        <f>B12/$B$34</f>
        <v>0</v>
      </c>
      <c r="I12" s="27"/>
      <c r="J12" s="500">
        <f>D12*H12</f>
        <v>0</v>
      </c>
    </row>
    <row r="13" spans="1:10" ht="12.75" customHeight="1">
      <c r="A13" s="501" t="s">
        <v>100</v>
      </c>
      <c r="B13" s="32">
        <f>'Table 3.3-PARS Fwd Summary'!B25</f>
        <v>0</v>
      </c>
      <c r="C13" s="27"/>
      <c r="D13" s="488">
        <v>0</v>
      </c>
      <c r="E13" s="27"/>
      <c r="F13" s="494">
        <f>'Table 3.3-PARS Fwd Summary'!F25</f>
        <v>0</v>
      </c>
      <c r="G13" s="27"/>
      <c r="H13" s="134">
        <f>B13/$B$34</f>
        <v>0</v>
      </c>
      <c r="I13" s="27"/>
      <c r="J13" s="500">
        <f>D13*H13</f>
        <v>0</v>
      </c>
    </row>
    <row r="14" spans="1:10" ht="12.75" customHeight="1">
      <c r="A14" s="502" t="s">
        <v>210</v>
      </c>
      <c r="B14" s="32">
        <f>'Table 3.3-PARS Fwd Summary'!B26</f>
        <v>0</v>
      </c>
      <c r="C14" s="27"/>
      <c r="D14" s="488">
        <v>0</v>
      </c>
      <c r="E14" s="27"/>
      <c r="F14" s="494">
        <f>'Table 3.3-PARS Fwd Summary'!F26</f>
        <v>0</v>
      </c>
      <c r="G14" s="27"/>
      <c r="H14" s="134">
        <f>B14/$B$34</f>
        <v>0</v>
      </c>
      <c r="I14" s="27"/>
      <c r="J14" s="500">
        <f>D14*H14</f>
        <v>0</v>
      </c>
    </row>
    <row r="15" spans="1:10" ht="12.75" customHeight="1">
      <c r="A15" s="503" t="s">
        <v>102</v>
      </c>
      <c r="B15" s="32">
        <f>B11</f>
        <v>881063.04</v>
      </c>
      <c r="C15" s="27"/>
      <c r="D15" s="488">
        <f>F15/B15</f>
        <v>0.0665056723174802</v>
      </c>
      <c r="E15" s="27"/>
      <c r="F15" s="494">
        <f>SUM(F11:F14)</f>
        <v>58595.68982928295</v>
      </c>
      <c r="G15" s="27"/>
      <c r="H15" s="134">
        <f>B15/$B$34</f>
        <v>0.8866722457199545</v>
      </c>
      <c r="I15" s="27"/>
      <c r="J15" s="500">
        <f>SUM(J11:J14)</f>
        <v>0.05896873382685558</v>
      </c>
    </row>
    <row r="16" spans="1:10" ht="4.5" customHeight="1">
      <c r="A16" s="353"/>
      <c r="B16" s="32"/>
      <c r="C16" s="27"/>
      <c r="D16" s="27"/>
      <c r="E16" s="27"/>
      <c r="F16" s="494"/>
      <c r="G16" s="27"/>
      <c r="H16" s="486"/>
      <c r="I16" s="27"/>
      <c r="J16" s="500"/>
    </row>
    <row r="17" spans="1:10" ht="12.75" customHeight="1">
      <c r="A17" s="353" t="s">
        <v>504</v>
      </c>
      <c r="B17" s="32">
        <f>B8</f>
        <v>881063.04</v>
      </c>
      <c r="C17" s="27"/>
      <c r="D17" s="488">
        <f>F17/B17</f>
        <v>0.17868062938531715</v>
      </c>
      <c r="E17" s="27"/>
      <c r="F17" s="494">
        <f>SUM(F8,F15)</f>
        <v>157428.89851534087</v>
      </c>
      <c r="G17" s="27"/>
      <c r="H17" s="134">
        <f>B17/$B$34</f>
        <v>0.8866722457199545</v>
      </c>
      <c r="I17" s="27"/>
      <c r="J17" s="500">
        <f>J8+J15</f>
        <v>0.15843115492373405</v>
      </c>
    </row>
    <row r="18" spans="1:10" ht="12.75" customHeight="1">
      <c r="A18" s="241"/>
      <c r="B18" s="32"/>
      <c r="C18" s="27"/>
      <c r="D18" s="27"/>
      <c r="E18" s="27"/>
      <c r="F18" s="494"/>
      <c r="G18" s="27"/>
      <c r="H18" s="486"/>
      <c r="I18" s="27"/>
      <c r="J18" s="500"/>
    </row>
    <row r="19" spans="1:10" ht="12.75" customHeight="1">
      <c r="A19" s="333" t="s">
        <v>479</v>
      </c>
      <c r="B19" s="32"/>
      <c r="C19" s="27"/>
      <c r="D19" s="488"/>
      <c r="E19" s="27"/>
      <c r="F19" s="494"/>
      <c r="G19" s="27"/>
      <c r="H19" s="486"/>
      <c r="I19" s="27"/>
      <c r="J19" s="500"/>
    </row>
    <row r="20" spans="1:10" ht="12.75" customHeight="1">
      <c r="A20" s="353" t="s">
        <v>526</v>
      </c>
      <c r="B20" s="32">
        <f>'Table 3.4-NonPARS Fwd Summary'!B8</f>
        <v>52542.109457018676</v>
      </c>
      <c r="C20" s="27"/>
      <c r="D20" s="488">
        <f>F20/B20</f>
        <v>0.18375962877676302</v>
      </c>
      <c r="E20" s="27"/>
      <c r="F20" s="494">
        <f>'Table 3.4-NonPARS Fwd Summary'!F8</f>
        <v>9655.118528969802</v>
      </c>
      <c r="G20" s="27"/>
      <c r="H20" s="134">
        <f>B20/$B$34</f>
        <v>0.052876613899407704</v>
      </c>
      <c r="I20" s="27"/>
      <c r="J20" s="500">
        <f>D20*H20</f>
        <v>0.009716586941127387</v>
      </c>
    </row>
    <row r="21" spans="1:10" ht="12.75" customHeight="1">
      <c r="A21" s="353" t="s">
        <v>527</v>
      </c>
      <c r="B21" s="32">
        <f>'Table 3.4-NonPARS Fwd Summary'!B14</f>
        <v>60068.71848343993</v>
      </c>
      <c r="C21" s="27"/>
      <c r="D21" s="488">
        <f>F21/B21</f>
        <v>0.31418960314489713</v>
      </c>
      <c r="E21" s="27"/>
      <c r="F21" s="494">
        <f>'Table 3.4-NonPARS Fwd Summary'!F14</f>
        <v>18872.96682173454</v>
      </c>
      <c r="G21" s="27"/>
      <c r="H21" s="134">
        <f>B21/$B$34</f>
        <v>0.060451140380637716</v>
      </c>
      <c r="I21" s="27"/>
      <c r="J21" s="500">
        <f>D21*H21</f>
        <v>0.01899311980584903</v>
      </c>
    </row>
    <row r="22" spans="1:10" ht="12.75" customHeight="1">
      <c r="A22" s="353" t="s">
        <v>102</v>
      </c>
      <c r="B22" s="32">
        <f>SUM(B20:B21)</f>
        <v>112610.8279404586</v>
      </c>
      <c r="C22" s="27"/>
      <c r="D22" s="488">
        <f>F22/B22</f>
        <v>0.25333341271399024</v>
      </c>
      <c r="E22" s="27"/>
      <c r="F22" s="494">
        <f>SUM(F20:F21)</f>
        <v>28528.085350704343</v>
      </c>
      <c r="G22" s="27"/>
      <c r="H22" s="134">
        <f>B22/$B$34</f>
        <v>0.11332775428004542</v>
      </c>
      <c r="I22" s="27"/>
      <c r="J22" s="500">
        <f>SUM(J20:J21)</f>
        <v>0.028709706746976416</v>
      </c>
    </row>
    <row r="23" spans="1:10" ht="4.5" customHeight="1">
      <c r="A23" s="353"/>
      <c r="B23" s="32"/>
      <c r="C23" s="27"/>
      <c r="D23" s="488"/>
      <c r="E23" s="27"/>
      <c r="F23" s="494"/>
      <c r="G23" s="27"/>
      <c r="H23" s="486"/>
      <c r="I23" s="27"/>
      <c r="J23" s="500"/>
    </row>
    <row r="24" spans="1:10" ht="12.75" customHeight="1">
      <c r="A24" s="353" t="s">
        <v>517</v>
      </c>
      <c r="B24" s="32"/>
      <c r="C24" s="27"/>
      <c r="D24" s="488"/>
      <c r="E24" s="27"/>
      <c r="F24" s="494"/>
      <c r="G24" s="27"/>
      <c r="H24" s="486"/>
      <c r="I24" s="27"/>
      <c r="J24" s="500"/>
    </row>
    <row r="25" spans="1:10" ht="12.75" customHeight="1">
      <c r="A25" s="501" t="s">
        <v>320</v>
      </c>
      <c r="B25" s="32">
        <f>'Table 3.4-NonPARS Fwd Summary'!B17</f>
        <v>112610.8279404586</v>
      </c>
      <c r="C25" s="27"/>
      <c r="D25" s="488">
        <f aca="true" t="shared" si="0" ref="D25:D30">F25/B25</f>
        <v>0.2780363455024417</v>
      </c>
      <c r="E25" s="27"/>
      <c r="F25" s="494">
        <f>'Table 3.4-NonPARS Fwd Summary'!F17</f>
        <v>31309.903064569367</v>
      </c>
      <c r="G25" s="27"/>
      <c r="H25" s="134">
        <f aca="true" t="shared" si="1" ref="H25:H30">B25/$B$34</f>
        <v>0.11332775428004542</v>
      </c>
      <c r="I25" s="27"/>
      <c r="J25" s="500">
        <f>D25*H25</f>
        <v>0.03150923464402253</v>
      </c>
    </row>
    <row r="26" spans="1:10" ht="12.75" customHeight="1">
      <c r="A26" s="501" t="s">
        <v>99</v>
      </c>
      <c r="B26" s="32">
        <f>'Table 3.4-NonPARS Fwd Summary'!B18</f>
        <v>983.5174207961576</v>
      </c>
      <c r="C26" s="27"/>
      <c r="D26" s="488">
        <f t="shared" si="0"/>
        <v>1.542177987898826</v>
      </c>
      <c r="E26" s="27"/>
      <c r="F26" s="494">
        <f>'Table 3.4-NonPARS Fwd Summary'!F18</f>
        <v>1516.7589170668612</v>
      </c>
      <c r="G26" s="27"/>
      <c r="H26" s="134">
        <f t="shared" si="1"/>
        <v>0.000989778892781641</v>
      </c>
      <c r="I26" s="27"/>
      <c r="J26" s="500">
        <f>D26*H26</f>
        <v>0.0015264152213347187</v>
      </c>
    </row>
    <row r="27" spans="1:10" ht="12.75" customHeight="1">
      <c r="A27" s="501" t="s">
        <v>100</v>
      </c>
      <c r="B27" s="32">
        <f>'Table 3.4-NonPARS Fwd Summary'!B19</f>
        <v>665.4057282751475</v>
      </c>
      <c r="C27" s="27"/>
      <c r="D27" s="488">
        <f t="shared" si="0"/>
        <v>0.85640712603036</v>
      </c>
      <c r="E27" s="27"/>
      <c r="F27" s="494">
        <f>'Table 3.4-NonPARS Fwd Summary'!F19</f>
        <v>569.8582073962576</v>
      </c>
      <c r="G27" s="27"/>
      <c r="H27" s="134">
        <f t="shared" si="1"/>
        <v>0.0006696419718215019</v>
      </c>
      <c r="I27" s="27"/>
      <c r="J27" s="500">
        <f>D27*H27</f>
        <v>0.0005734861565569557</v>
      </c>
    </row>
    <row r="28" spans="1:10" ht="12.75" customHeight="1">
      <c r="A28" s="502" t="s">
        <v>210</v>
      </c>
      <c r="B28" s="32">
        <f>'Table 3.4-NonPARS Fwd Summary'!B20</f>
        <v>318.1116925210099</v>
      </c>
      <c r="C28" s="27"/>
      <c r="D28" s="488">
        <f t="shared" si="0"/>
        <v>0.461390876138082</v>
      </c>
      <c r="E28" s="27"/>
      <c r="F28" s="494">
        <f>'Table 3.4-NonPARS Fwd Summary'!F20</f>
        <v>146.7738325220369</v>
      </c>
      <c r="G28" s="27"/>
      <c r="H28" s="134">
        <f t="shared" si="1"/>
        <v>0.00032013692096013866</v>
      </c>
      <c r="I28" s="27"/>
      <c r="J28" s="500">
        <f>D28*H28</f>
        <v>0.00014770825444594628</v>
      </c>
    </row>
    <row r="29" spans="1:10" ht="12.75" customHeight="1">
      <c r="A29" s="502" t="s">
        <v>101</v>
      </c>
      <c r="B29" s="32">
        <f>'Table 3.4-NonPARS Fwd Summary'!B21</f>
        <v>418.86018479912485</v>
      </c>
      <c r="C29" s="27"/>
      <c r="D29" s="488">
        <f t="shared" si="0"/>
        <v>3.4177329363033273</v>
      </c>
      <c r="E29" s="27"/>
      <c r="F29" s="494">
        <f>'Table 3.4-NonPARS Fwd Summary'!F21</f>
        <v>1431.5522492940672</v>
      </c>
      <c r="G29" s="27"/>
      <c r="H29" s="134">
        <f t="shared" si="1"/>
        <v>0.0004215268191235387</v>
      </c>
      <c r="I29" s="27"/>
      <c r="J29" s="500">
        <f>D29*H29</f>
        <v>0.0014406660932536936</v>
      </c>
    </row>
    <row r="30" spans="1:10" ht="12.75" customHeight="1">
      <c r="A30" s="503" t="s">
        <v>102</v>
      </c>
      <c r="B30" s="32">
        <f>B25</f>
        <v>112610.8279404586</v>
      </c>
      <c r="C30" s="27"/>
      <c r="D30" s="488">
        <f t="shared" si="0"/>
        <v>0.31058155694709083</v>
      </c>
      <c r="E30" s="27"/>
      <c r="F30" s="494">
        <f>SUM(F25:F29)</f>
        <v>34974.84627084859</v>
      </c>
      <c r="G30" s="27"/>
      <c r="H30" s="134">
        <f t="shared" si="1"/>
        <v>0.11332775428004542</v>
      </c>
      <c r="I30" s="27"/>
      <c r="J30" s="500">
        <f>SUM(J25:J29)</f>
        <v>0.03519751036961384</v>
      </c>
    </row>
    <row r="31" spans="1:10" ht="4.5" customHeight="1">
      <c r="A31" s="353"/>
      <c r="B31" s="32"/>
      <c r="C31" s="27"/>
      <c r="D31" s="488"/>
      <c r="E31" s="27"/>
      <c r="F31" s="494"/>
      <c r="G31" s="27"/>
      <c r="H31" s="486"/>
      <c r="I31" s="27"/>
      <c r="J31" s="500"/>
    </row>
    <row r="32" spans="1:10" ht="12.75" customHeight="1">
      <c r="A32" s="239" t="s">
        <v>494</v>
      </c>
      <c r="B32" s="32">
        <f>B22</f>
        <v>112610.8279404586</v>
      </c>
      <c r="C32" s="27"/>
      <c r="D32" s="488">
        <f>F32/B32</f>
        <v>0.563914969661081</v>
      </c>
      <c r="E32" s="27"/>
      <c r="F32" s="494">
        <f>SUM(F22,F30)</f>
        <v>63502.93162155293</v>
      </c>
      <c r="G32" s="27"/>
      <c r="H32" s="134">
        <f>B32/$B$34</f>
        <v>0.11332775428004542</v>
      </c>
      <c r="I32" s="27"/>
      <c r="J32" s="500">
        <f>J22+J30</f>
        <v>0.06390721711659025</v>
      </c>
    </row>
    <row r="33" spans="1:10" ht="12.75" customHeight="1">
      <c r="A33" s="353"/>
      <c r="B33" s="32"/>
      <c r="C33" s="27"/>
      <c r="D33" s="488"/>
      <c r="E33" s="27"/>
      <c r="F33" s="494"/>
      <c r="G33" s="27"/>
      <c r="H33" s="486"/>
      <c r="I33" s="27"/>
      <c r="J33" s="500"/>
    </row>
    <row r="34" spans="1:10" ht="12.75" customHeight="1">
      <c r="A34" s="480" t="s">
        <v>269</v>
      </c>
      <c r="B34" s="505">
        <f>SUM(B17,B32)</f>
        <v>993673.8679404587</v>
      </c>
      <c r="C34" s="506"/>
      <c r="D34" s="507"/>
      <c r="E34" s="506"/>
      <c r="F34" s="511">
        <f>SUM(F17,F32)</f>
        <v>220931.8301368938</v>
      </c>
      <c r="G34" s="506"/>
      <c r="H34" s="509"/>
      <c r="I34" s="506"/>
      <c r="J34" s="507">
        <f>SUM(J17,J32)</f>
        <v>0.2223383720403243</v>
      </c>
    </row>
    <row r="35" spans="1:10" ht="12.75" customHeight="1" hidden="1">
      <c r="A35" s="491"/>
      <c r="B35" s="32"/>
      <c r="C35" s="27"/>
      <c r="D35" s="27"/>
      <c r="E35" s="27"/>
      <c r="F35" s="27"/>
      <c r="G35" s="27"/>
      <c r="H35" s="27"/>
      <c r="I35" s="27"/>
      <c r="J35" s="27"/>
    </row>
    <row r="36" spans="1:10" ht="12.75" customHeight="1" hidden="1">
      <c r="A36" s="491"/>
      <c r="B36" s="492"/>
      <c r="C36" s="151"/>
      <c r="D36" s="151"/>
      <c r="E36" s="151"/>
      <c r="F36" s="485"/>
      <c r="G36" s="151"/>
      <c r="H36" s="486"/>
      <c r="I36" s="151"/>
      <c r="J36" s="151"/>
    </row>
    <row r="37" spans="1:11" ht="12.75" customHeight="1" hidden="1">
      <c r="A37" s="14" t="s">
        <v>191</v>
      </c>
      <c r="B37" s="143">
        <v>0</v>
      </c>
      <c r="C37" s="151"/>
      <c r="D37" s="492"/>
      <c r="E37" s="151"/>
      <c r="F37" s="485"/>
      <c r="G37" s="482" t="s">
        <v>311</v>
      </c>
      <c r="H37" s="504">
        <f>SUM('Table 3.14-Route UAA'!J102,'Table 3.14-Route UAA'!J106)</f>
        <v>29313.645780383722</v>
      </c>
      <c r="I37" s="151"/>
      <c r="J37" s="492">
        <f>'Table 3.3-PARS Fwd Summary'!J32+'Table 3.4-NonPARS Fwd Summary'!J27</f>
        <v>29313.645780383733</v>
      </c>
      <c r="K37" s="143">
        <f aca="true" t="shared" si="2" ref="K37:K44">H37-J37</f>
        <v>0</v>
      </c>
    </row>
    <row r="38" spans="1:11" ht="12.75" customHeight="1" hidden="1">
      <c r="A38" s="487"/>
      <c r="B38" s="143">
        <v>0</v>
      </c>
      <c r="C38" s="27"/>
      <c r="D38" s="488"/>
      <c r="E38" s="27"/>
      <c r="F38" s="485"/>
      <c r="G38" s="46" t="s">
        <v>312</v>
      </c>
      <c r="H38" s="504">
        <f>SUM('Table 3.18-Nixie UAA'!I6,'Table 3.18-Nixie UAA'!I15,'Table 3.18-Nixie UAA'!I24)+SUM('Table 3.31-Rating Post Due'!H7,'Table 3.31-Rating Post Due'!H12,'Table 3.31-Rating Post Due'!H20)</f>
        <v>7643.450116130054</v>
      </c>
      <c r="I38" s="151"/>
      <c r="J38" s="492">
        <f>'Table 3.3-PARS Fwd Summary'!J33+'Table 3.4-NonPARS Fwd Summary'!J28</f>
        <v>7643.450116130054</v>
      </c>
      <c r="K38" s="143">
        <f t="shared" si="2"/>
        <v>0</v>
      </c>
    </row>
    <row r="39" spans="1:11" ht="12.75" customHeight="1" hidden="1">
      <c r="A39" s="487"/>
      <c r="B39" s="143">
        <v>0</v>
      </c>
      <c r="C39" s="27"/>
      <c r="D39" s="488"/>
      <c r="E39" s="27"/>
      <c r="F39" s="485"/>
      <c r="G39" s="46" t="s">
        <v>313</v>
      </c>
      <c r="H39" s="504">
        <f>SUM('Table 3.20-CFS Non-CIOSS'!H9,'Table 3.20-CFS Non-CIOSS'!H45,'Table 3.20-CFS Non-CIOSS'!H56,'Table 3.21-CFS CIOSS Rejs'!H9)</f>
        <v>23904.684001712136</v>
      </c>
      <c r="I39" s="151"/>
      <c r="J39" s="492">
        <f>'Table 3.3-PARS Fwd Summary'!J34+'Table 3.4-NonPARS Fwd Summary'!J29</f>
        <v>23904.684001712136</v>
      </c>
      <c r="K39" s="143">
        <f t="shared" si="2"/>
        <v>0</v>
      </c>
    </row>
    <row r="40" spans="1:11" ht="12.75" customHeight="1" hidden="1">
      <c r="A40" s="487"/>
      <c r="B40" s="32"/>
      <c r="C40" s="27"/>
      <c r="D40" s="488"/>
      <c r="E40" s="27"/>
      <c r="F40" s="485"/>
      <c r="G40" s="483" t="s">
        <v>502</v>
      </c>
      <c r="H40" s="504">
        <f>SUM('Table 3.23-CIOSS Summary'!I4,'Table 3.23-CIOSS Summary'!I8,'Table 3.23-CIOSS Summary'!I11)</f>
        <v>38195.48149015158</v>
      </c>
      <c r="I40" s="151"/>
      <c r="J40" s="492">
        <f>'Table 3.3-PARS Fwd Summary'!J35</f>
        <v>38195.48149015158</v>
      </c>
      <c r="K40" s="143">
        <f t="shared" si="2"/>
        <v>0</v>
      </c>
    </row>
    <row r="41" spans="1:11" ht="12.75" customHeight="1" hidden="1">
      <c r="A41" s="499"/>
      <c r="B41" s="32"/>
      <c r="C41" s="27"/>
      <c r="D41" s="488"/>
      <c r="E41" s="27"/>
      <c r="F41" s="485"/>
      <c r="G41" s="483" t="s">
        <v>503</v>
      </c>
      <c r="H41" s="504">
        <f>'Table 3.25-REC Summary'!K4+'Table 3.25-REC Summary'!K8</f>
        <v>28304.03264838477</v>
      </c>
      <c r="I41" s="151"/>
      <c r="J41" s="492">
        <f>'Table 3.3-PARS Fwd Summary'!J36</f>
        <v>28304.03264838477</v>
      </c>
      <c r="K41" s="143">
        <f t="shared" si="2"/>
        <v>0</v>
      </c>
    </row>
    <row r="42" spans="1:11" ht="12.75" customHeight="1" hidden="1">
      <c r="A42" s="491"/>
      <c r="B42" s="492"/>
      <c r="C42" s="151"/>
      <c r="D42" s="488"/>
      <c r="E42" s="151"/>
      <c r="F42" s="489"/>
      <c r="G42" s="67" t="s">
        <v>518</v>
      </c>
      <c r="H42" s="492">
        <f>'Table 3.3-PARS Fwd Summary'!H37+'Table 3.4-NonPARS Fwd Summary'!H30</f>
        <v>89905.59289385231</v>
      </c>
      <c r="I42" s="151"/>
      <c r="J42" s="492">
        <f>'Table 3.3-PARS Fwd Summary'!J37+'Table 3.4-NonPARS Fwd Summary'!J30</f>
        <v>89905.59289385231</v>
      </c>
      <c r="K42" s="143">
        <f t="shared" si="2"/>
        <v>0</v>
      </c>
    </row>
    <row r="43" spans="1:11" ht="12.75" customHeight="1" hidden="1">
      <c r="A43" s="493"/>
      <c r="B43" s="492"/>
      <c r="C43" s="151"/>
      <c r="D43" s="488"/>
      <c r="E43" s="151"/>
      <c r="F43" s="489"/>
      <c r="G43" s="67" t="s">
        <v>315</v>
      </c>
      <c r="H43" s="504">
        <f>SUM('Table 3.32-Accounting Post Due'!D4:D5)*'Table 3.32-Accounting Post Due'!F4+SUM('Table 3.33-Delivery Post Due'!D5:D9)*'Table 3.33-Delivery Post Due'!F5+SUM('Table 3.34-Window Post Due'!D4:D5)*'Table 3.34-Window Post Due'!F4+'Table 3.36-Process Form 3546'!J17*'Table 3.36-Process Form 3546'!B4</f>
        <v>3664.9432062792234</v>
      </c>
      <c r="I43" s="151"/>
      <c r="J43" s="492">
        <f>'Table 3.3-PARS Fwd Summary'!J38+'Table 3.4-NonPARS Fwd Summary'!J31</f>
        <v>3664.943206279223</v>
      </c>
      <c r="K43" s="143">
        <f t="shared" si="2"/>
        <v>0</v>
      </c>
    </row>
    <row r="44" spans="1:11" ht="12.75" customHeight="1" hidden="1">
      <c r="A44" s="493"/>
      <c r="B44" s="492"/>
      <c r="C44" s="151"/>
      <c r="D44" s="488"/>
      <c r="E44" s="151"/>
      <c r="F44" s="489"/>
      <c r="G44" s="46" t="s">
        <v>314</v>
      </c>
      <c r="H44" s="492">
        <f>SUM(H37:H43)</f>
        <v>220931.8301368938</v>
      </c>
      <c r="I44" s="151"/>
      <c r="J44" s="492">
        <f>SUM(J37:J43)</f>
        <v>220931.8301368938</v>
      </c>
      <c r="K44" s="143">
        <f t="shared" si="2"/>
        <v>0</v>
      </c>
    </row>
    <row r="45" spans="1:10" ht="12.75">
      <c r="A45" s="317"/>
      <c r="B45" s="317"/>
      <c r="C45" s="317"/>
      <c r="D45" s="317"/>
      <c r="E45" s="317"/>
      <c r="F45" s="317"/>
      <c r="G45" s="27"/>
      <c r="H45" s="240"/>
      <c r="I45" s="27"/>
      <c r="J45" s="27"/>
    </row>
    <row r="46" ht="12.75">
      <c r="A46" s="284" t="s">
        <v>235</v>
      </c>
    </row>
    <row r="47" spans="1:4" ht="12.75">
      <c r="A47" s="284" t="s">
        <v>575</v>
      </c>
      <c r="D47" s="12"/>
    </row>
    <row r="48" spans="1:4" ht="12.75">
      <c r="A48" s="284" t="s">
        <v>576</v>
      </c>
      <c r="D48" s="12"/>
    </row>
    <row r="49" spans="1:4" ht="12.75">
      <c r="A49" s="284"/>
      <c r="D49" s="12"/>
    </row>
    <row r="50" ht="12.75">
      <c r="A50" s="241"/>
    </row>
    <row r="51" ht="12.75">
      <c r="A51" s="241"/>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R35"/>
  <sheetViews>
    <sheetView zoomScale="70" zoomScaleNormal="70" zoomScalePageLayoutView="0" workbookViewId="0" topLeftCell="A1">
      <selection activeCell="C28" sqref="C28"/>
    </sheetView>
  </sheetViews>
  <sheetFormatPr defaultColWidth="9.140625" defaultRowHeight="12.75"/>
  <cols>
    <col min="1" max="1" width="27.8515625" style="11" customWidth="1"/>
    <col min="2" max="7" width="11.7109375" style="11" customWidth="1"/>
    <col min="8" max="8" width="9.7109375" style="11" customWidth="1"/>
    <col min="9" max="10" width="10.140625" style="11" customWidth="1"/>
    <col min="11" max="11" width="10.57421875" style="11" bestFit="1" customWidth="1"/>
    <col min="12" max="12" width="9.140625" style="11" customWidth="1"/>
    <col min="13" max="13" width="10.28125" style="11" bestFit="1" customWidth="1"/>
    <col min="14" max="14" width="10.57421875" style="11" bestFit="1" customWidth="1"/>
    <col min="15" max="15" width="9.140625" style="11" customWidth="1"/>
    <col min="16" max="16" width="11.28125" style="11" bestFit="1" customWidth="1"/>
    <col min="17" max="16384" width="9.140625" style="11" customWidth="1"/>
  </cols>
  <sheetData>
    <row r="1" s="24" customFormat="1" ht="15.75">
      <c r="A1" s="158" t="s">
        <v>710</v>
      </c>
    </row>
    <row r="2" s="24" customFormat="1" ht="15.75">
      <c r="A2" s="158" t="s">
        <v>787</v>
      </c>
    </row>
    <row r="3" spans="2:11" ht="12.75">
      <c r="B3" s="108" t="s">
        <v>167</v>
      </c>
      <c r="C3" s="108"/>
      <c r="D3" s="107"/>
      <c r="E3" s="107"/>
      <c r="F3" s="107"/>
      <c r="G3" s="107"/>
      <c r="H3" s="51"/>
      <c r="I3" s="51"/>
      <c r="J3" s="51"/>
      <c r="K3" s="51"/>
    </row>
    <row r="4" spans="2:11" ht="12.75">
      <c r="B4" s="237" t="s">
        <v>147</v>
      </c>
      <c r="C4" s="441"/>
      <c r="D4" s="13"/>
      <c r="E4" s="237" t="s">
        <v>149</v>
      </c>
      <c r="F4" s="238"/>
      <c r="G4" s="13"/>
      <c r="H4" s="24"/>
      <c r="I4" s="24"/>
      <c r="J4" s="51"/>
      <c r="K4" s="51"/>
    </row>
    <row r="5" spans="2:11" ht="12.75">
      <c r="B5" s="178" t="s">
        <v>228</v>
      </c>
      <c r="C5" s="236" t="s">
        <v>229</v>
      </c>
      <c r="D5" s="106" t="s">
        <v>148</v>
      </c>
      <c r="E5" s="178" t="s">
        <v>228</v>
      </c>
      <c r="F5" s="236" t="s">
        <v>229</v>
      </c>
      <c r="G5" s="106" t="s">
        <v>102</v>
      </c>
      <c r="H5" s="47"/>
      <c r="I5" s="51"/>
      <c r="J5" s="51"/>
      <c r="K5" s="51"/>
    </row>
    <row r="6" spans="1:16" ht="12.75">
      <c r="A6" s="89" t="s">
        <v>278</v>
      </c>
      <c r="B6" s="121">
        <f aca="true" t="shared" si="0" ref="B6:G7">(B17+$B12)*$B$9</f>
        <v>0.06322312054116157</v>
      </c>
      <c r="C6" s="121">
        <f>(C17+$B12)*$B$9</f>
        <v>0.1359208006743879</v>
      </c>
      <c r="D6" s="121">
        <f t="shared" si="0"/>
        <v>0.28804598070914084</v>
      </c>
      <c r="E6" s="121">
        <f t="shared" si="0"/>
        <v>2.4869357106154864</v>
      </c>
      <c r="F6" s="121">
        <f t="shared" si="0"/>
        <v>2.5802657592197886</v>
      </c>
      <c r="G6" s="121">
        <f t="shared" si="0"/>
        <v>0.09047796847087812</v>
      </c>
      <c r="H6"/>
      <c r="I6" s="210"/>
      <c r="J6" s="53"/>
      <c r="K6" s="86"/>
      <c r="L6" s="86"/>
      <c r="M6" s="498"/>
      <c r="N6" s="498"/>
      <c r="O6" s="53"/>
      <c r="P6" s="53"/>
    </row>
    <row r="7" spans="1:15" ht="12.75">
      <c r="A7" s="21" t="s">
        <v>373</v>
      </c>
      <c r="B7" s="121">
        <f t="shared" si="0"/>
        <v>0.2805361858536488</v>
      </c>
      <c r="C7" s="121">
        <f>(C18+$B13)*$B$9</f>
        <v>0.9012424844626566</v>
      </c>
      <c r="D7" s="121">
        <f t="shared" si="0"/>
        <v>0.926313550493048</v>
      </c>
      <c r="E7" s="121"/>
      <c r="F7" s="121">
        <f t="shared" si="0"/>
        <v>12.620317405064975</v>
      </c>
      <c r="G7" s="121">
        <f t="shared" si="0"/>
        <v>0.42097707019715164</v>
      </c>
      <c r="H7"/>
      <c r="I7" s="210"/>
      <c r="J7" s="53"/>
      <c r="K7" s="86"/>
      <c r="L7" s="86"/>
      <c r="M7" s="498"/>
      <c r="N7" s="498"/>
      <c r="O7" s="53"/>
    </row>
    <row r="8" spans="1:9" ht="12.75">
      <c r="A8" s="21"/>
      <c r="B8" s="206"/>
      <c r="C8" s="206"/>
      <c r="D8" s="206"/>
      <c r="E8" s="206"/>
      <c r="F8" s="206"/>
      <c r="G8" s="117"/>
      <c r="H8" s="51"/>
      <c r="I8" s="51"/>
    </row>
    <row r="9" spans="1:11" ht="13.5" customHeight="1">
      <c r="A9" s="323" t="s">
        <v>192</v>
      </c>
      <c r="B9" s="207">
        <v>1.5595101237373266</v>
      </c>
      <c r="C9" s="294" t="s">
        <v>238</v>
      </c>
      <c r="E9" s="206"/>
      <c r="F9" s="206"/>
      <c r="G9" s="117"/>
      <c r="H9" s="51"/>
      <c r="I9" s="51"/>
      <c r="J9" s="51"/>
      <c r="K9" s="51"/>
    </row>
    <row r="10" spans="1:11" ht="12.75">
      <c r="A10" s="21"/>
      <c r="B10" s="206"/>
      <c r="C10" s="206"/>
      <c r="E10" s="206"/>
      <c r="F10" s="206"/>
      <c r="G10" s="117"/>
      <c r="H10" s="51"/>
      <c r="I10" s="51"/>
      <c r="J10" s="51"/>
      <c r="K10" s="51"/>
    </row>
    <row r="11" spans="1:10" ht="12.75">
      <c r="A11" s="15" t="s">
        <v>185</v>
      </c>
      <c r="B11" s="208"/>
      <c r="C11" s="208"/>
      <c r="E11" s="208"/>
      <c r="F11" s="208"/>
      <c r="G11" s="48"/>
      <c r="H11" s="51"/>
      <c r="I11" s="51"/>
      <c r="J11" s="51"/>
    </row>
    <row r="12" spans="1:10" ht="12.75">
      <c r="A12" s="89" t="s">
        <v>278</v>
      </c>
      <c r="B12" s="121">
        <v>0.020884441992154487</v>
      </c>
      <c r="C12" s="294" t="s">
        <v>239</v>
      </c>
      <c r="E12" s="208"/>
      <c r="F12" s="208"/>
      <c r="G12" s="48"/>
      <c r="H12" s="51"/>
      <c r="I12" s="51"/>
      <c r="J12" s="51"/>
    </row>
    <row r="13" spans="1:10" ht="12.75">
      <c r="A13" s="21" t="s">
        <v>373</v>
      </c>
      <c r="B13" s="121">
        <v>0.020884441992154487</v>
      </c>
      <c r="C13" s="294" t="s">
        <v>239</v>
      </c>
      <c r="E13" s="208"/>
      <c r="F13" s="208"/>
      <c r="G13" s="48"/>
      <c r="H13" s="51"/>
      <c r="I13" s="51"/>
      <c r="J13" s="51"/>
    </row>
    <row r="14" spans="2:10" ht="12.75">
      <c r="B14" s="208"/>
      <c r="C14" s="208"/>
      <c r="D14" s="208"/>
      <c r="E14" s="208"/>
      <c r="F14" s="208"/>
      <c r="G14" s="48"/>
      <c r="H14" s="51"/>
      <c r="I14" s="51"/>
      <c r="J14" s="51"/>
    </row>
    <row r="15" spans="1:10" ht="12.75">
      <c r="A15" s="15" t="s">
        <v>374</v>
      </c>
      <c r="B15" s="237" t="s">
        <v>147</v>
      </c>
      <c r="C15" s="441"/>
      <c r="D15" s="206"/>
      <c r="E15" s="237" t="s">
        <v>149</v>
      </c>
      <c r="F15" s="238"/>
      <c r="G15" s="14"/>
      <c r="H15"/>
      <c r="I15"/>
      <c r="J15" s="108"/>
    </row>
    <row r="16" spans="1:10" ht="12.75">
      <c r="A16" s="11" t="s">
        <v>166</v>
      </c>
      <c r="B16" s="178" t="s">
        <v>228</v>
      </c>
      <c r="C16" s="236" t="s">
        <v>229</v>
      </c>
      <c r="D16" s="209" t="s">
        <v>148</v>
      </c>
      <c r="E16" s="178" t="s">
        <v>228</v>
      </c>
      <c r="F16" s="236" t="s">
        <v>229</v>
      </c>
      <c r="G16" s="106" t="s">
        <v>102</v>
      </c>
      <c r="H16"/>
      <c r="J16"/>
    </row>
    <row r="17" spans="1:15" ht="12.75">
      <c r="A17" s="89" t="s">
        <v>278</v>
      </c>
      <c r="B17" s="121">
        <f aca="true" t="shared" si="1" ref="B17:G18">IF(B27=0,0,B22/B27)</f>
        <v>0.019655929999563625</v>
      </c>
      <c r="C17" s="121">
        <f>IF(C27=0,0,C22/C27)</f>
        <v>0.06627164542628249</v>
      </c>
      <c r="D17" s="121">
        <f t="shared" si="1"/>
        <v>0.16381841842842806</v>
      </c>
      <c r="E17" s="121">
        <f t="shared" si="1"/>
        <v>1.5738058859267228</v>
      </c>
      <c r="F17" s="121">
        <f t="shared" si="1"/>
        <v>1.633651633116</v>
      </c>
      <c r="G17" s="121">
        <f t="shared" si="1"/>
        <v>0.03713247440595773</v>
      </c>
      <c r="H17"/>
      <c r="J17" s="86"/>
      <c r="K17" s="86"/>
      <c r="L17" s="86"/>
      <c r="M17" s="53"/>
      <c r="N17" s="53"/>
      <c r="O17" s="53"/>
    </row>
    <row r="18" spans="1:15" ht="12.75">
      <c r="A18" s="21" t="s">
        <v>373</v>
      </c>
      <c r="B18" s="121">
        <f t="shared" si="1"/>
        <v>0.1590029351935421</v>
      </c>
      <c r="C18" s="121">
        <f>IF(C28=0,0,C23/C28)</f>
        <v>0.5570165736824677</v>
      </c>
      <c r="D18" s="121">
        <f t="shared" si="1"/>
        <v>0.5730928181702618</v>
      </c>
      <c r="E18" s="121">
        <f t="shared" si="1"/>
        <v>0</v>
      </c>
      <c r="F18" s="121">
        <f t="shared" si="1"/>
        <v>8.071603841970187</v>
      </c>
      <c r="G18" s="121">
        <f t="shared" si="1"/>
        <v>0.24905742230834182</v>
      </c>
      <c r="H18"/>
      <c r="J18" s="86"/>
      <c r="K18" s="86"/>
      <c r="L18" s="86"/>
      <c r="M18" s="6"/>
      <c r="N18" s="53"/>
      <c r="O18" s="53"/>
    </row>
    <row r="19" spans="1:8" ht="12.75">
      <c r="A19" s="21"/>
      <c r="B19" s="121"/>
      <c r="C19" s="121"/>
      <c r="D19" s="121"/>
      <c r="E19" s="121"/>
      <c r="F19" s="121"/>
      <c r="G19" s="121"/>
      <c r="H19"/>
    </row>
    <row r="20" spans="2:14" ht="12.75">
      <c r="B20" s="237" t="s">
        <v>376</v>
      </c>
      <c r="C20" s="441"/>
      <c r="D20" s="206"/>
      <c r="E20" s="237" t="s">
        <v>149</v>
      </c>
      <c r="F20" s="238"/>
      <c r="G20" s="117"/>
      <c r="H20"/>
      <c r="I20"/>
      <c r="J20"/>
      <c r="K20"/>
      <c r="L20"/>
      <c r="M20"/>
      <c r="N20"/>
    </row>
    <row r="21" spans="1:14" ht="12.75">
      <c r="A21" s="24" t="s">
        <v>375</v>
      </c>
      <c r="B21" s="178" t="s">
        <v>228</v>
      </c>
      <c r="C21" s="236" t="s">
        <v>229</v>
      </c>
      <c r="D21" s="209" t="s">
        <v>148</v>
      </c>
      <c r="E21" s="178" t="s">
        <v>228</v>
      </c>
      <c r="F21" s="236" t="s">
        <v>229</v>
      </c>
      <c r="G21" s="106" t="s">
        <v>102</v>
      </c>
      <c r="H21"/>
      <c r="I21"/>
      <c r="J21"/>
      <c r="K21"/>
      <c r="L21"/>
      <c r="M21"/>
      <c r="N21"/>
    </row>
    <row r="22" spans="1:14" ht="12.75">
      <c r="A22" s="89" t="s">
        <v>278</v>
      </c>
      <c r="B22" s="105">
        <v>16536.14070071226</v>
      </c>
      <c r="C22" s="105">
        <v>5843.9339970625615</v>
      </c>
      <c r="D22" s="105">
        <v>10066.785075068154</v>
      </c>
      <c r="E22" s="105">
        <v>1593.479987091968</v>
      </c>
      <c r="F22" s="105">
        <v>2857.2297092331487</v>
      </c>
      <c r="G22" s="105">
        <f>SUM(B22:F22)</f>
        <v>36897.5694691681</v>
      </c>
      <c r="H22"/>
      <c r="I22"/>
      <c r="J22"/>
      <c r="K22"/>
      <c r="L22"/>
      <c r="M22"/>
      <c r="N22"/>
    </row>
    <row r="23" spans="1:14" ht="12.75">
      <c r="A23" s="21" t="s">
        <v>373</v>
      </c>
      <c r="B23" s="105">
        <v>204068.9420417008</v>
      </c>
      <c r="C23" s="105">
        <v>47977.43864600747</v>
      </c>
      <c r="D23" s="105">
        <v>43983.30867557937</v>
      </c>
      <c r="E23" s="105">
        <v>0</v>
      </c>
      <c r="F23" s="105">
        <v>66227.80659779106</v>
      </c>
      <c r="G23" s="105">
        <f>SUM(B23:F23)</f>
        <v>362257.4959610787</v>
      </c>
      <c r="H23"/>
      <c r="I23"/>
      <c r="J23"/>
      <c r="K23"/>
      <c r="L23"/>
      <c r="M23"/>
      <c r="N23"/>
    </row>
    <row r="24" spans="1:14" ht="12.75">
      <c r="A24" s="21"/>
      <c r="B24" s="105"/>
      <c r="C24" s="105"/>
      <c r="D24" s="105"/>
      <c r="E24" s="105"/>
      <c r="F24" s="105"/>
      <c r="G24" s="105"/>
      <c r="H24"/>
      <c r="I24"/>
      <c r="J24"/>
      <c r="K24"/>
      <c r="L24"/>
      <c r="M24"/>
      <c r="N24"/>
    </row>
    <row r="25" spans="2:14" ht="12.75">
      <c r="B25" s="237" t="s">
        <v>376</v>
      </c>
      <c r="C25" s="441"/>
      <c r="D25" s="105"/>
      <c r="E25" s="237" t="s">
        <v>149</v>
      </c>
      <c r="F25" s="238"/>
      <c r="G25" s="105"/>
      <c r="H25"/>
      <c r="I25"/>
      <c r="J25"/>
      <c r="K25"/>
      <c r="L25"/>
      <c r="M25"/>
      <c r="N25"/>
    </row>
    <row r="26" spans="1:14" ht="12.75">
      <c r="A26" s="25" t="s">
        <v>252</v>
      </c>
      <c r="B26" s="178" t="s">
        <v>228</v>
      </c>
      <c r="C26" s="236" t="s">
        <v>229</v>
      </c>
      <c r="D26" s="209" t="s">
        <v>148</v>
      </c>
      <c r="E26" s="178" t="s">
        <v>228</v>
      </c>
      <c r="F26" s="236" t="s">
        <v>229</v>
      </c>
      <c r="G26" s="106" t="s">
        <v>102</v>
      </c>
      <c r="H26"/>
      <c r="I26"/>
      <c r="J26"/>
      <c r="K26"/>
      <c r="L26"/>
      <c r="M26"/>
      <c r="N26"/>
    </row>
    <row r="27" spans="1:14" ht="12.75">
      <c r="A27" s="89" t="s">
        <v>278</v>
      </c>
      <c r="B27" s="105">
        <v>841279.9954557924</v>
      </c>
      <c r="C27" s="105">
        <v>88181.51351867494</v>
      </c>
      <c r="D27" s="105">
        <v>61450.87452096427</v>
      </c>
      <c r="E27" s="105">
        <v>1012.500970635054</v>
      </c>
      <c r="F27" s="105">
        <v>1748.9834743918543</v>
      </c>
      <c r="G27" s="105">
        <f>SUM(B27:F27)</f>
        <v>993673.8679404586</v>
      </c>
      <c r="H27"/>
      <c r="I27"/>
      <c r="J27"/>
      <c r="K27"/>
      <c r="L27"/>
      <c r="M27"/>
      <c r="N27"/>
    </row>
    <row r="28" spans="1:18" ht="12.75">
      <c r="A28" s="21" t="s">
        <v>373</v>
      </c>
      <c r="B28" s="105">
        <v>1283428.7731437364</v>
      </c>
      <c r="C28" s="105">
        <v>86132.87451902183</v>
      </c>
      <c r="D28" s="105">
        <v>76747.26899563456</v>
      </c>
      <c r="E28" s="105">
        <v>0</v>
      </c>
      <c r="F28" s="105">
        <v>8205.036804881842</v>
      </c>
      <c r="G28" s="105">
        <f>SUM(B28:F28)</f>
        <v>1454513.9534632748</v>
      </c>
      <c r="H28"/>
      <c r="I28" s="27"/>
      <c r="J28" s="27"/>
      <c r="K28" s="27"/>
      <c r="L28" s="27"/>
      <c r="M28" s="27"/>
      <c r="N28" s="27"/>
      <c r="O28" s="140"/>
      <c r="P28" s="140"/>
      <c r="Q28" s="140"/>
      <c r="R28" s="140"/>
    </row>
    <row r="29" spans="1:18" ht="12.75">
      <c r="A29" s="141"/>
      <c r="B29" s="141"/>
      <c r="C29" s="141"/>
      <c r="D29" s="141"/>
      <c r="E29" s="141"/>
      <c r="F29" s="141"/>
      <c r="I29" s="140"/>
      <c r="J29" s="140"/>
      <c r="K29" s="140"/>
      <c r="L29" s="140"/>
      <c r="M29" s="140"/>
      <c r="N29" s="140"/>
      <c r="O29" s="140"/>
      <c r="P29" s="140"/>
      <c r="Q29" s="140"/>
      <c r="R29" s="140"/>
    </row>
    <row r="30" spans="1:18" ht="12.75">
      <c r="A30" s="11" t="s">
        <v>235</v>
      </c>
      <c r="I30" s="145"/>
      <c r="J30" s="140"/>
      <c r="K30" s="140"/>
      <c r="L30" s="140"/>
      <c r="M30" s="140"/>
      <c r="N30" s="140"/>
      <c r="O30" s="140"/>
      <c r="P30" s="140"/>
      <c r="Q30" s="140"/>
      <c r="R30" s="140"/>
    </row>
    <row r="31" spans="1:6" ht="49.5" customHeight="1">
      <c r="A31" s="613" t="s">
        <v>813</v>
      </c>
      <c r="B31" s="614"/>
      <c r="C31" s="614"/>
      <c r="D31" s="614"/>
      <c r="E31" s="614"/>
      <c r="F31" s="614"/>
    </row>
    <row r="32" ht="12.75">
      <c r="A32" s="25" t="s">
        <v>795</v>
      </c>
    </row>
    <row r="33" ht="12.75">
      <c r="A33" s="25" t="s">
        <v>812</v>
      </c>
    </row>
    <row r="35" ht="12.75">
      <c r="C35" s="53"/>
    </row>
  </sheetData>
  <sheetProtection/>
  <mergeCells count="1">
    <mergeCell ref="A31:F31"/>
  </mergeCells>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F46"/>
  <sheetViews>
    <sheetView zoomScale="70" zoomScaleNormal="70" zoomScalePageLayoutView="0" workbookViewId="0" topLeftCell="A1">
      <selection activeCell="B28" sqref="B28"/>
    </sheetView>
  </sheetViews>
  <sheetFormatPr defaultColWidth="9.140625" defaultRowHeight="12.75"/>
  <cols>
    <col min="1" max="1" width="31.421875" style="0" bestFit="1" customWidth="1"/>
    <col min="2" max="2" width="11.7109375" style="0" customWidth="1"/>
    <col min="3" max="3" width="3.7109375" style="0" customWidth="1"/>
    <col min="4" max="4" width="11.7109375" style="0" customWidth="1"/>
    <col min="5" max="5" width="3.7109375" style="0" customWidth="1"/>
    <col min="6" max="6" width="11.7109375" style="0" customWidth="1"/>
  </cols>
  <sheetData>
    <row r="1" ht="15.75">
      <c r="A1" s="158" t="s">
        <v>711</v>
      </c>
    </row>
    <row r="2" ht="15.75">
      <c r="A2" s="158" t="s">
        <v>787</v>
      </c>
    </row>
    <row r="3" spans="1:6" ht="25.5">
      <c r="A3" s="544" t="s">
        <v>396</v>
      </c>
      <c r="B3" s="168" t="s">
        <v>109</v>
      </c>
      <c r="D3" s="169" t="s">
        <v>104</v>
      </c>
      <c r="F3" s="168" t="s">
        <v>110</v>
      </c>
    </row>
    <row r="4" ht="12.75">
      <c r="A4" s="16" t="s">
        <v>278</v>
      </c>
    </row>
    <row r="5" ht="12.75">
      <c r="A5" s="111" t="s">
        <v>505</v>
      </c>
    </row>
    <row r="6" spans="1:6" ht="12.75">
      <c r="A6" s="501" t="s">
        <v>539</v>
      </c>
      <c r="B6" s="6">
        <f>'Table 3.3-PARS Fwd Summary'!B23-B7</f>
        <v>841279.9954557925</v>
      </c>
      <c r="C6" s="12" t="s">
        <v>238</v>
      </c>
      <c r="D6" s="121">
        <f>'Table 3.29-UAA MP Units'!B6</f>
        <v>0.06322312054116157</v>
      </c>
      <c r="E6" s="12" t="s">
        <v>239</v>
      </c>
      <c r="F6" s="175">
        <f>B6*D6</f>
        <v>53188.34656156943</v>
      </c>
    </row>
    <row r="7" spans="1:6" ht="12.75">
      <c r="A7" s="545" t="s">
        <v>545</v>
      </c>
      <c r="B7" s="6">
        <f>SUM('Table 3.3-PARS Fwd Summary'!B9,'Table 3.3-PARS Fwd Summary'!B19)</f>
        <v>39783.04454420751</v>
      </c>
      <c r="C7" s="12" t="s">
        <v>238</v>
      </c>
      <c r="D7" s="121">
        <f>'Table 3.29-UAA MP Units'!C6</f>
        <v>0.1359208006743879</v>
      </c>
      <c r="E7" s="12" t="s">
        <v>239</v>
      </c>
      <c r="F7" s="175">
        <f>B7*D7</f>
        <v>5407.343267713523</v>
      </c>
    </row>
    <row r="8" spans="1:6" ht="12.75">
      <c r="A8" s="501" t="s">
        <v>102</v>
      </c>
      <c r="B8" s="6">
        <f>SUM(B6:B7)</f>
        <v>881063.04</v>
      </c>
      <c r="D8" s="121">
        <f>F8/B8</f>
        <v>0.0665056723174802</v>
      </c>
      <c r="F8" s="165">
        <f>SUM(F6:F7)</f>
        <v>58595.68982928295</v>
      </c>
    </row>
    <row r="9" ht="4.5" customHeight="1"/>
    <row r="10" ht="12.75">
      <c r="A10" s="111" t="s">
        <v>490</v>
      </c>
    </row>
    <row r="11" spans="1:6" ht="12.75">
      <c r="A11" s="501" t="s">
        <v>539</v>
      </c>
      <c r="B11">
        <v>0</v>
      </c>
      <c r="D11" s="121">
        <f>'Table 3.29-UAA MP Units'!B6</f>
        <v>0.06322312054116157</v>
      </c>
      <c r="E11" s="12" t="s">
        <v>239</v>
      </c>
      <c r="F11" s="175">
        <f>B11*D11</f>
        <v>0</v>
      </c>
    </row>
    <row r="12" spans="1:6" ht="12.75">
      <c r="A12" s="501" t="s">
        <v>540</v>
      </c>
      <c r="B12" s="6">
        <f>'Table 3.29-UAA MP Units'!C27-B7</f>
        <v>48398.46897446743</v>
      </c>
      <c r="C12" s="12" t="s">
        <v>240</v>
      </c>
      <c r="D12" s="121">
        <f>'Table 3.29-UAA MP Units'!C6</f>
        <v>0.1359208006743879</v>
      </c>
      <c r="E12" s="12" t="s">
        <v>239</v>
      </c>
      <c r="F12" s="175">
        <f>B12*D12</f>
        <v>6578.358654424134</v>
      </c>
    </row>
    <row r="13" spans="1:6" ht="12.75">
      <c r="A13" s="501" t="s">
        <v>148</v>
      </c>
      <c r="B13" s="6">
        <f>'Table 3.29-UAA MP Units'!D27</f>
        <v>61450.87452096427</v>
      </c>
      <c r="C13" s="12" t="s">
        <v>239</v>
      </c>
      <c r="D13" s="121">
        <f>'Table 3.29-UAA MP Units'!D6</f>
        <v>0.28804598070914084</v>
      </c>
      <c r="E13" s="12" t="s">
        <v>239</v>
      </c>
      <c r="F13" s="175">
        <f>B13*D13</f>
        <v>17700.67741682551</v>
      </c>
    </row>
    <row r="14" spans="1:6" ht="12.75">
      <c r="A14" s="501" t="s">
        <v>541</v>
      </c>
      <c r="B14" s="6">
        <f>'Table 3.29-UAA MP Units'!E27</f>
        <v>1012.500970635054</v>
      </c>
      <c r="C14" s="12" t="s">
        <v>239</v>
      </c>
      <c r="D14" s="121">
        <f>'Table 3.29-UAA MP Units'!E6</f>
        <v>2.4869357106154864</v>
      </c>
      <c r="E14" s="12" t="s">
        <v>239</v>
      </c>
      <c r="F14" s="175">
        <f>B14*D14</f>
        <v>2518.024820905158</v>
      </c>
    </row>
    <row r="15" spans="1:6" ht="12.75">
      <c r="A15" s="545" t="s">
        <v>542</v>
      </c>
      <c r="B15" s="6">
        <f>'Table 3.29-UAA MP Units'!F27</f>
        <v>1748.9834743918543</v>
      </c>
      <c r="C15" s="12" t="s">
        <v>239</v>
      </c>
      <c r="D15" s="121">
        <f>'Table 3.29-UAA MP Units'!F6</f>
        <v>2.5802657592197886</v>
      </c>
      <c r="E15" s="12" t="s">
        <v>239</v>
      </c>
      <c r="F15" s="175">
        <f>B15*D15</f>
        <v>4512.842172414562</v>
      </c>
    </row>
    <row r="16" spans="1:6" ht="12.75">
      <c r="A16" s="501" t="s">
        <v>102</v>
      </c>
      <c r="B16" s="6">
        <f>SUM(B11:B15)</f>
        <v>112610.8279404586</v>
      </c>
      <c r="D16" s="121">
        <f>F16/B16</f>
        <v>0.2780363455024417</v>
      </c>
      <c r="F16" s="165">
        <f>SUM(F11:F15)</f>
        <v>31309.903064569364</v>
      </c>
    </row>
    <row r="17" ht="4.5" customHeight="1"/>
    <row r="18" spans="1:6" ht="12.75">
      <c r="A18" s="546" t="s">
        <v>543</v>
      </c>
      <c r="B18" s="6">
        <f>SUM(B8,B16)</f>
        <v>993673.8679404587</v>
      </c>
      <c r="D18" s="121">
        <f>F18/B18</f>
        <v>0.0904779684708781</v>
      </c>
      <c r="F18" s="165">
        <f>SUM(F8,F16)</f>
        <v>89905.59289385231</v>
      </c>
    </row>
    <row r="20" ht="12.75">
      <c r="A20" s="16" t="s">
        <v>280</v>
      </c>
    </row>
    <row r="21" ht="12.75">
      <c r="A21" s="111" t="s">
        <v>505</v>
      </c>
    </row>
    <row r="22" spans="1:6" ht="12.75">
      <c r="A22" s="501" t="s">
        <v>539</v>
      </c>
      <c r="B22" s="6">
        <f>'Table 3.6-PARS RTS Summary'!B62-B23</f>
        <v>1283428.7731437362</v>
      </c>
      <c r="C22" s="12" t="s">
        <v>241</v>
      </c>
      <c r="D22" s="121">
        <f>'Table 3.29-UAA MP Units'!B7</f>
        <v>0.2805361858536488</v>
      </c>
      <c r="E22" s="12" t="s">
        <v>239</v>
      </c>
      <c r="F22" s="175">
        <f>B22*D22</f>
        <v>360048.21283257165</v>
      </c>
    </row>
    <row r="23" spans="1:6" ht="12.75">
      <c r="A23" s="545" t="s">
        <v>545</v>
      </c>
      <c r="B23" s="6">
        <f>SUM('Table 3.6-PARS RTS Summary'!B9,'Table 3.6-PARS RTS Summary'!B17,'Table 3.6-PARS RTS Summary'!B27,'Table 3.6-PARS RTS Summary'!B37,'Table 3.6-PARS RTS Summary'!B48,'Table 3.6-PARS RTS Summary'!B58)</f>
        <v>63780.575856263764</v>
      </c>
      <c r="C23" s="12" t="s">
        <v>241</v>
      </c>
      <c r="D23" s="121">
        <f>'Table 3.29-UAA MP Units'!C7</f>
        <v>0.9012424844626566</v>
      </c>
      <c r="E23" s="12" t="s">
        <v>239</v>
      </c>
      <c r="F23" s="175">
        <f>B23*D23</f>
        <v>57481.76464515809</v>
      </c>
    </row>
    <row r="24" spans="1:6" ht="12.75">
      <c r="A24" s="501" t="s">
        <v>102</v>
      </c>
      <c r="B24" s="6">
        <f>SUM(B22:B23)</f>
        <v>1347209.349</v>
      </c>
      <c r="D24" s="121">
        <f>F24/B24</f>
        <v>0.3099221199642445</v>
      </c>
      <c r="F24" s="165">
        <f>SUM(F22:F23)</f>
        <v>417529.9774777297</v>
      </c>
    </row>
    <row r="25" ht="4.5" customHeight="1"/>
    <row r="26" ht="12.75">
      <c r="A26" s="111" t="s">
        <v>490</v>
      </c>
    </row>
    <row r="27" spans="1:6" ht="12.75">
      <c r="A27" s="501" t="s">
        <v>539</v>
      </c>
      <c r="B27">
        <v>0</v>
      </c>
      <c r="D27" s="121">
        <f>'Table 3.29-UAA MP Units'!B7</f>
        <v>0.2805361858536488</v>
      </c>
      <c r="E27" s="12" t="s">
        <v>239</v>
      </c>
      <c r="F27" s="165">
        <f>B27*D27</f>
        <v>0</v>
      </c>
    </row>
    <row r="28" spans="1:6" ht="12.75">
      <c r="A28" s="501" t="s">
        <v>540</v>
      </c>
      <c r="B28" s="6">
        <f>'Table 3.29-UAA MP Units'!C28-B23</f>
        <v>22352.29866275807</v>
      </c>
      <c r="C28" s="12" t="s">
        <v>240</v>
      </c>
      <c r="D28" s="121">
        <f>'Table 3.29-UAA MP Units'!C7</f>
        <v>0.9012424844626566</v>
      </c>
      <c r="E28" s="12" t="s">
        <v>239</v>
      </c>
      <c r="F28" s="165">
        <f>B28*D28</f>
        <v>20144.841180275398</v>
      </c>
    </row>
    <row r="29" spans="1:6" ht="12.75">
      <c r="A29" s="501" t="s">
        <v>148</v>
      </c>
      <c r="B29" s="6">
        <f>'Table 3.29-UAA MP Units'!D28</f>
        <v>76747.26899563456</v>
      </c>
      <c r="C29" s="12" t="s">
        <v>239</v>
      </c>
      <c r="D29" s="121">
        <f>'Table 3.29-UAA MP Units'!D7</f>
        <v>0.926313550493048</v>
      </c>
      <c r="E29" s="12" t="s">
        <v>239</v>
      </c>
      <c r="F29" s="165">
        <f>B29*D29</f>
        <v>71092.03523399126</v>
      </c>
    </row>
    <row r="30" spans="1:6" ht="12.75">
      <c r="A30" s="501" t="s">
        <v>541</v>
      </c>
      <c r="B30" s="6">
        <f>'Table 3.29-UAA MP Units'!E28</f>
        <v>0</v>
      </c>
      <c r="C30" s="12" t="s">
        <v>239</v>
      </c>
      <c r="D30" s="121">
        <f>'Table 3.29-UAA MP Units'!E7</f>
        <v>0</v>
      </c>
      <c r="E30" s="12" t="s">
        <v>239</v>
      </c>
      <c r="F30" s="165">
        <f>B30*D30</f>
        <v>0</v>
      </c>
    </row>
    <row r="31" spans="1:6" ht="12.75">
      <c r="A31" s="545" t="s">
        <v>542</v>
      </c>
      <c r="B31" s="6">
        <f>'Table 3.29-UAA MP Units'!F28</f>
        <v>8205.036804881842</v>
      </c>
      <c r="C31" s="12" t="s">
        <v>239</v>
      </c>
      <c r="D31" s="121">
        <f>'Table 3.29-UAA MP Units'!F7</f>
        <v>12.620317405064975</v>
      </c>
      <c r="E31" s="12" t="s">
        <v>239</v>
      </c>
      <c r="F31" s="165">
        <f>B31*D31</f>
        <v>103550.16879784902</v>
      </c>
    </row>
    <row r="32" spans="1:6" ht="12.75">
      <c r="A32" s="501" t="s">
        <v>102</v>
      </c>
      <c r="B32" s="6">
        <f>SUM(B27:B31)</f>
        <v>107304.60446327447</v>
      </c>
      <c r="D32" s="121">
        <f>F32/B32</f>
        <v>1.8152720117316354</v>
      </c>
      <c r="F32" s="165">
        <f>SUM(F27:F31)</f>
        <v>194787.04521211568</v>
      </c>
    </row>
    <row r="33" ht="4.5" customHeight="1"/>
    <row r="34" spans="1:6" ht="12.75">
      <c r="A34" s="546" t="s">
        <v>544</v>
      </c>
      <c r="B34" s="6">
        <f>B24+B32</f>
        <v>1454513.9534632745</v>
      </c>
      <c r="D34" s="121">
        <f>F34/B34</f>
        <v>0.4209770701971516</v>
      </c>
      <c r="F34" s="165">
        <f>F24+F32</f>
        <v>612317.0226898454</v>
      </c>
    </row>
    <row r="35" ht="12.75" hidden="1"/>
    <row r="36" spans="1:6" ht="12.75" hidden="1">
      <c r="A36" s="14" t="s">
        <v>191</v>
      </c>
      <c r="B36" s="143">
        <f>B18-'Table 3.29-UAA MP Units'!G27</f>
        <v>0</v>
      </c>
      <c r="D36" s="143">
        <f>D18-'Table 3.29-UAA MP Units'!G6</f>
        <v>0</v>
      </c>
      <c r="F36" s="143">
        <f>F18-PRODUCT('Table 3.29-UAA MP Units'!G6,'Table 3.29-UAA MP Units'!G27)</f>
        <v>0</v>
      </c>
    </row>
    <row r="37" spans="2:6" ht="12.75" hidden="1">
      <c r="B37" s="143">
        <f>B34-'Table 3.29-UAA MP Units'!G28</f>
        <v>0</v>
      </c>
      <c r="D37" s="143">
        <f>D34-'Table 3.29-UAA MP Units'!G7</f>
        <v>0</v>
      </c>
      <c r="F37" s="143">
        <f>F34-PRODUCT('Table 3.29-UAA MP Units'!G7,'Table 3.29-UAA MP Units'!G28)</f>
        <v>0</v>
      </c>
    </row>
    <row r="38" spans="2:6" ht="12.75" hidden="1">
      <c r="B38" s="143">
        <f>B6-'Table 3.29-UAA MP Units'!B27</f>
        <v>0</v>
      </c>
      <c r="D38" s="143">
        <f>B22-'Table 3.29-UAA MP Units'!B28</f>
        <v>0</v>
      </c>
      <c r="F38" s="143"/>
    </row>
    <row r="39" spans="2:6" ht="12.75" hidden="1">
      <c r="B39" s="143">
        <f>SUM(B7,B12)-'Table 3.29-UAA MP Units'!C27</f>
        <v>0</v>
      </c>
      <c r="D39" s="143">
        <f>SUM(B23,B28)-'Table 3.29-UAA MP Units'!C28</f>
        <v>0</v>
      </c>
      <c r="F39" s="143"/>
    </row>
    <row r="40" spans="1:4" ht="12.75">
      <c r="A40" s="141"/>
      <c r="B40" s="283"/>
      <c r="C40" s="283"/>
      <c r="D40" s="283"/>
    </row>
    <row r="41" ht="12.75">
      <c r="A41" s="11" t="s">
        <v>235</v>
      </c>
    </row>
    <row r="42" ht="12.75">
      <c r="A42" s="12" t="s">
        <v>546</v>
      </c>
    </row>
    <row r="43" ht="12.75">
      <c r="A43" s="12" t="s">
        <v>663</v>
      </c>
    </row>
    <row r="44" ht="12.75">
      <c r="A44" s="12" t="s">
        <v>700</v>
      </c>
    </row>
    <row r="45" ht="12.75">
      <c r="A45" s="12" t="s">
        <v>37</v>
      </c>
    </row>
    <row r="46" ht="12.75">
      <c r="A46" s="12" t="s">
        <v>664</v>
      </c>
    </row>
  </sheetData>
  <sheetProtection/>
  <printOptions horizontalCentered="1"/>
  <pageMargins left="0.75" right="0.75" top="1" bottom="1" header="0.5" footer="0.5"/>
  <pageSetup fitToHeight="1" fitToWidth="1" horizontalDpi="600" verticalDpi="600" orientation="landscape" scale="94" r:id="rId1"/>
  <headerFooter alignWithMargins="0">
    <oddFooter>&amp;L&amp;F</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J36"/>
  <sheetViews>
    <sheetView zoomScale="70" zoomScaleNormal="70" zoomScalePageLayoutView="0" workbookViewId="0" topLeftCell="A1">
      <selection activeCell="A1" sqref="A1"/>
    </sheetView>
  </sheetViews>
  <sheetFormatPr defaultColWidth="9.140625" defaultRowHeight="12.75"/>
  <cols>
    <col min="1" max="1" width="25.8515625" style="0" bestFit="1" customWidth="1"/>
    <col min="2" max="4" width="11.7109375" style="0" customWidth="1"/>
    <col min="5" max="5" width="3.57421875" style="0" customWidth="1"/>
    <col min="6" max="6" width="11.7109375" style="0" customWidth="1"/>
    <col min="7" max="7" width="3.57421875" style="0" customWidth="1"/>
    <col min="8" max="9" width="11.7109375" style="0" customWidth="1"/>
  </cols>
  <sheetData>
    <row r="1" ht="15.75">
      <c r="A1" s="158" t="s">
        <v>712</v>
      </c>
    </row>
    <row r="2" ht="15.75">
      <c r="A2" s="158" t="s">
        <v>787</v>
      </c>
    </row>
    <row r="3" ht="4.5" customHeight="1">
      <c r="A3" s="454"/>
    </row>
    <row r="4" ht="12.75">
      <c r="A4" s="15" t="s">
        <v>224</v>
      </c>
    </row>
    <row r="5" spans="2:10" ht="25.5">
      <c r="B5" s="168" t="s">
        <v>250</v>
      </c>
      <c r="C5" s="198" t="s">
        <v>104</v>
      </c>
      <c r="D5" s="189" t="s">
        <v>249</v>
      </c>
      <c r="E5" s="198"/>
      <c r="F5" s="199" t="s">
        <v>246</v>
      </c>
      <c r="G5" s="199"/>
      <c r="H5" s="160" t="s">
        <v>218</v>
      </c>
      <c r="I5" s="41" t="s">
        <v>133</v>
      </c>
      <c r="J5" s="4"/>
    </row>
    <row r="6" spans="1:10" ht="12.75">
      <c r="A6" s="49" t="s">
        <v>439</v>
      </c>
      <c r="B6" s="168"/>
      <c r="C6" s="198"/>
      <c r="D6" s="189"/>
      <c r="E6" s="198"/>
      <c r="F6" s="199"/>
      <c r="G6" s="199"/>
      <c r="H6" s="160"/>
      <c r="I6" s="41"/>
      <c r="J6" s="4"/>
    </row>
    <row r="7" spans="1:10" ht="12.75">
      <c r="A7" s="81" t="s">
        <v>278</v>
      </c>
      <c r="B7" s="168">
        <v>0</v>
      </c>
      <c r="C7" s="83" t="str">
        <f>IF(ISERROR(D7/B7),"n/a",D7/B7)</f>
        <v>n/a</v>
      </c>
      <c r="D7" s="52">
        <v>0</v>
      </c>
      <c r="E7" s="198"/>
      <c r="F7" s="54">
        <v>1.4666301987498853</v>
      </c>
      <c r="G7" s="199"/>
      <c r="H7" s="52">
        <f>F7*D7</f>
        <v>0</v>
      </c>
      <c r="I7" s="83" t="str">
        <f>IF(ISERROR(H7/B7),"n/a",H7/B7)</f>
        <v>n/a</v>
      </c>
      <c r="J7" s="4"/>
    </row>
    <row r="8" spans="1:10" ht="12.75">
      <c r="A8" s="81" t="s">
        <v>274</v>
      </c>
      <c r="B8" s="168">
        <v>3158.024794293451</v>
      </c>
      <c r="C8" s="83">
        <f>IF(ISERROR(D8/B8),"n/a",D8/B8)</f>
        <v>0</v>
      </c>
      <c r="D8" s="52">
        <v>0</v>
      </c>
      <c r="E8" s="198"/>
      <c r="F8" s="54">
        <v>1.4666301987498853</v>
      </c>
      <c r="G8" s="199"/>
      <c r="H8" s="52">
        <f>F8*D8</f>
        <v>0</v>
      </c>
      <c r="I8" s="83">
        <f>IF(ISERROR(H8/B8),"n/a",H8/B8)</f>
        <v>0</v>
      </c>
      <c r="J8" s="4"/>
    </row>
    <row r="9" spans="1:10" ht="12.75">
      <c r="A9" s="82" t="s">
        <v>444</v>
      </c>
      <c r="B9" s="168">
        <f>SUM(B7:B8)</f>
        <v>3158.024794293451</v>
      </c>
      <c r="C9" s="83">
        <f>IF(ISERROR(D9/B9),"n/a",D9/B9)</f>
        <v>0</v>
      </c>
      <c r="D9" s="52">
        <f>SUM(D7:D8)</f>
        <v>0</v>
      </c>
      <c r="E9" s="455" t="s">
        <v>239</v>
      </c>
      <c r="F9" s="54"/>
      <c r="G9" s="199"/>
      <c r="H9" s="52">
        <f>SUM(H7:H8)</f>
        <v>0</v>
      </c>
      <c r="I9" s="83">
        <f>IF(ISERROR(H9/B9),"n/a",H9/B9)</f>
        <v>0</v>
      </c>
      <c r="J9" s="4"/>
    </row>
    <row r="10" spans="2:10" ht="12.75">
      <c r="B10" s="168"/>
      <c r="C10" s="83"/>
      <c r="D10" s="189"/>
      <c r="E10" s="198"/>
      <c r="F10" s="199"/>
      <c r="G10" s="199"/>
      <c r="H10" s="160"/>
      <c r="I10" s="83"/>
      <c r="J10" s="4"/>
    </row>
    <row r="11" spans="1:10" ht="12.75">
      <c r="A11" s="49" t="s">
        <v>442</v>
      </c>
      <c r="B11" s="168"/>
      <c r="C11" s="83"/>
      <c r="D11" s="189"/>
      <c r="E11" s="198"/>
      <c r="F11" s="199"/>
      <c r="G11" s="199"/>
      <c r="H11" s="160"/>
      <c r="I11" s="83"/>
      <c r="J11" s="4"/>
    </row>
    <row r="12" spans="1:10" ht="12.75">
      <c r="A12" s="81" t="s">
        <v>278</v>
      </c>
      <c r="B12" s="168">
        <v>0</v>
      </c>
      <c r="C12" s="83" t="str">
        <f>IF(ISERROR(D12/B12),"n/a",D12/B12)</f>
        <v>n/a</v>
      </c>
      <c r="D12" s="52">
        <v>0</v>
      </c>
      <c r="E12" s="198"/>
      <c r="F12" s="54">
        <v>1.4666301987498853</v>
      </c>
      <c r="G12" s="199"/>
      <c r="H12" s="52">
        <f>F12*D12</f>
        <v>0</v>
      </c>
      <c r="I12" s="83" t="str">
        <f>IF(ISERROR(H12/B12),"n/a",H12/B12)</f>
        <v>n/a</v>
      </c>
      <c r="J12" s="4"/>
    </row>
    <row r="13" spans="1:10" ht="12.75">
      <c r="A13" s="81" t="s">
        <v>274</v>
      </c>
      <c r="B13" s="168">
        <v>396.4568933769623</v>
      </c>
      <c r="C13" s="83">
        <f>IF(ISERROR(D13/B13),"n/a",D13/B13)</f>
        <v>0.12630681642395644</v>
      </c>
      <c r="D13" s="52">
        <v>50.075208051776045</v>
      </c>
      <c r="E13" s="198"/>
      <c r="F13" s="54">
        <v>1.4666301987498853</v>
      </c>
      <c r="G13" s="199"/>
      <c r="H13" s="52">
        <f>F13*D13</f>
        <v>73.44181233741816</v>
      </c>
      <c r="I13" s="83">
        <f>IF(ISERROR(H13/B13),"n/a",H13/B13)</f>
        <v>0.1852453912753325</v>
      </c>
      <c r="J13" s="4"/>
    </row>
    <row r="14" spans="1:10" ht="12.75">
      <c r="A14" s="81" t="s">
        <v>445</v>
      </c>
      <c r="B14" s="168">
        <f>SUM(B12:B13)</f>
        <v>396.4568933769623</v>
      </c>
      <c r="C14" s="83">
        <f>IF(ISERROR(D14/B14),"n/a",D14/B14)</f>
        <v>0.12630681642395644</v>
      </c>
      <c r="D14" s="52">
        <f>SUM(D12:D13)</f>
        <v>50.075208051776045</v>
      </c>
      <c r="E14" s="198"/>
      <c r="F14" s="199"/>
      <c r="G14" s="199"/>
      <c r="H14" s="52">
        <f>SUM(H12:H13)</f>
        <v>73.44181233741816</v>
      </c>
      <c r="I14" s="83">
        <f>IF(ISERROR(H14/B14),"n/a",H14/B14)</f>
        <v>0.1852453912753325</v>
      </c>
      <c r="J14" s="4"/>
    </row>
    <row r="15" spans="1:10" ht="12.75">
      <c r="A15" s="81"/>
      <c r="B15" s="168"/>
      <c r="C15" s="83"/>
      <c r="D15" s="189"/>
      <c r="E15" s="198"/>
      <c r="F15" s="199"/>
      <c r="G15" s="199"/>
      <c r="H15" s="160"/>
      <c r="I15" s="83"/>
      <c r="J15" s="4"/>
    </row>
    <row r="16" spans="1:10" ht="12.75">
      <c r="A16" s="49" t="s">
        <v>449</v>
      </c>
      <c r="B16" s="168"/>
      <c r="C16" s="83"/>
      <c r="D16" s="189"/>
      <c r="E16" s="198"/>
      <c r="F16" s="199"/>
      <c r="G16" s="199"/>
      <c r="H16" s="160"/>
      <c r="I16" s="83"/>
      <c r="J16" s="4"/>
    </row>
    <row r="17" spans="1:10" ht="12.75">
      <c r="A17" s="12" t="s">
        <v>278</v>
      </c>
      <c r="C17" s="83"/>
      <c r="I17" s="22"/>
      <c r="J17" s="11"/>
    </row>
    <row r="18" spans="1:9" s="11" customFormat="1" ht="12.75">
      <c r="A18" s="21" t="s">
        <v>148</v>
      </c>
      <c r="B18" s="53">
        <v>0</v>
      </c>
      <c r="C18" s="83" t="str">
        <f>IF(ISERROR(D18/B18),"n/a",D18/B18)</f>
        <v>n/a</v>
      </c>
      <c r="D18" s="52">
        <v>0</v>
      </c>
      <c r="F18" s="72">
        <v>1.4666301987498853</v>
      </c>
      <c r="G18" s="23"/>
      <c r="H18" s="52">
        <f>F18*D18</f>
        <v>0</v>
      </c>
      <c r="I18" s="83" t="str">
        <f>IF(ISERROR(H18/B18),"n/a",H18/B18)</f>
        <v>n/a</v>
      </c>
    </row>
    <row r="19" spans="1:9" s="11" customFormat="1" ht="12.75">
      <c r="A19" s="21" t="s">
        <v>149</v>
      </c>
      <c r="B19" s="53">
        <v>70.99812729053431</v>
      </c>
      <c r="C19" s="83">
        <f>IF(ISERROR(D19/B19),"n/a",D19/B19)</f>
        <v>0.12096283161241239</v>
      </c>
      <c r="D19" s="52">
        <v>8.588134516241523</v>
      </c>
      <c r="F19" s="72">
        <v>1.4666301987498853</v>
      </c>
      <c r="G19" s="23"/>
      <c r="H19" s="52">
        <f>F19*D19</f>
        <v>12.595617432446055</v>
      </c>
      <c r="I19" s="83">
        <f>IF(ISERROR(H19/B19),"n/a",H19/B19)</f>
        <v>0.1774077417690613</v>
      </c>
    </row>
    <row r="20" spans="1:10" s="11" customFormat="1" ht="12.75">
      <c r="A20" s="25" t="s">
        <v>150</v>
      </c>
      <c r="B20" s="168">
        <f>SUM(B18:B19)</f>
        <v>70.99812729053431</v>
      </c>
      <c r="C20" s="83">
        <f>IF(ISERROR(D20/B20),"n/a",D20/B20)</f>
        <v>0.12096283161241239</v>
      </c>
      <c r="D20" s="52">
        <f>SUM(D18:D19)</f>
        <v>8.588134516241523</v>
      </c>
      <c r="F20" s="72"/>
      <c r="G20" s="23"/>
      <c r="H20" s="52">
        <f>SUM(H18:H19)</f>
        <v>12.595617432446055</v>
      </c>
      <c r="I20" s="83">
        <f>IF(ISERROR(H20/B20),"n/a",H20/B20)</f>
        <v>0.1774077417690613</v>
      </c>
      <c r="J20" s="25"/>
    </row>
    <row r="21" spans="1:9" s="11" customFormat="1" ht="12.75">
      <c r="A21" s="21"/>
      <c r="B21" s="53"/>
      <c r="C21" s="83"/>
      <c r="D21" s="52"/>
      <c r="F21" s="72"/>
      <c r="G21" s="23"/>
      <c r="H21" s="42"/>
      <c r="I21" s="86"/>
    </row>
    <row r="22" spans="1:9" ht="12.75">
      <c r="A22" s="12" t="s">
        <v>280</v>
      </c>
      <c r="C22" s="83"/>
      <c r="D22" s="52"/>
      <c r="H22" s="165"/>
      <c r="I22" s="22"/>
    </row>
    <row r="23" spans="1:9" ht="12.75">
      <c r="A23" s="21" t="s">
        <v>148</v>
      </c>
      <c r="B23" s="53">
        <v>1807.9402800594942</v>
      </c>
      <c r="C23" s="83">
        <f>IF(ISERROR(D23/B23),"n/a",D23/B23)</f>
        <v>0.25557719320150646</v>
      </c>
      <c r="D23" s="52">
        <v>462.068302253551</v>
      </c>
      <c r="E23" s="11"/>
      <c r="F23" s="72">
        <v>1.4666301987498853</v>
      </c>
      <c r="G23" s="23"/>
      <c r="H23" s="52">
        <f>F23*D23</f>
        <v>677.6833259701476</v>
      </c>
      <c r="I23" s="83">
        <f>IF(ISERROR(H23/B23),"n/a",H23/B23)</f>
        <v>0.37483722966106325</v>
      </c>
    </row>
    <row r="24" spans="1:9" ht="12.75">
      <c r="A24" s="21" t="s">
        <v>149</v>
      </c>
      <c r="B24" s="53">
        <v>1925.244637424365</v>
      </c>
      <c r="C24" s="83">
        <f>IF(ISERROR(D24/B24),"n/a",D24/B24)</f>
        <v>0.12096283161241235</v>
      </c>
      <c r="D24" s="52">
        <v>232.88304288946333</v>
      </c>
      <c r="E24" s="11"/>
      <c r="F24" s="72">
        <v>1.4666301987498853</v>
      </c>
      <c r="G24" s="23"/>
      <c r="H24" s="52">
        <f>F24*D24</f>
        <v>341.55330347845165</v>
      </c>
      <c r="I24" s="83">
        <f>IF(ISERROR(H24/B24),"n/a",H24/B24)</f>
        <v>0.1774077417690612</v>
      </c>
    </row>
    <row r="25" spans="1:9" ht="12.75">
      <c r="A25" s="25" t="s">
        <v>151</v>
      </c>
      <c r="B25" s="168">
        <f>SUM(B23:B24)</f>
        <v>3733.184917483859</v>
      </c>
      <c r="C25" s="83">
        <f>IF(ISERROR(D25/B25),"n/a",D25/B25)</f>
        <v>0.18615508218955487</v>
      </c>
      <c r="D25" s="52">
        <f>SUM(D23:D24)</f>
        <v>694.9513451430144</v>
      </c>
      <c r="E25" s="11"/>
      <c r="F25" s="72"/>
      <c r="G25" s="23"/>
      <c r="H25" s="52">
        <f>SUM(H23:H24)</f>
        <v>1019.2366294485993</v>
      </c>
      <c r="I25" s="83">
        <f>IF(ISERROR(H25/B25),"n/a",H25/B25)</f>
        <v>0.2730206651899681</v>
      </c>
    </row>
    <row r="26" spans="3:9" ht="12.75">
      <c r="C26" s="83"/>
      <c r="D26" s="52"/>
      <c r="H26" s="165"/>
      <c r="I26" s="22"/>
    </row>
    <row r="27" spans="1:9" ht="12.75">
      <c r="A27" s="15" t="s">
        <v>225</v>
      </c>
      <c r="B27" s="6">
        <f>SUM(B9,B14,B20,B25)</f>
        <v>7358.664732444807</v>
      </c>
      <c r="C27" s="83">
        <f>IF(ISERROR(D27/B27),"n/a",D27/B27)</f>
        <v>0.10241187975153947</v>
      </c>
      <c r="D27" s="52">
        <f>SUM(D9,D14,D20,D25)</f>
        <v>753.6146877110319</v>
      </c>
      <c r="F27" s="72"/>
      <c r="H27" s="52">
        <f>SUM(H9,H14,H20,H25)</f>
        <v>1105.2740592184634</v>
      </c>
      <c r="I27" s="83">
        <f>IF(ISERROR(H27/B27),"n/a",H27/B27)</f>
        <v>0.15020035555434968</v>
      </c>
    </row>
    <row r="28" ht="12.75" hidden="1">
      <c r="D28" s="22"/>
    </row>
    <row r="29" spans="1:9" ht="12.75" hidden="1">
      <c r="A29" s="547" t="s">
        <v>191</v>
      </c>
      <c r="B29" s="133">
        <v>0</v>
      </c>
      <c r="C29" s="133">
        <v>0</v>
      </c>
      <c r="D29" s="133">
        <v>0</v>
      </c>
      <c r="F29" s="134"/>
      <c r="H29" s="133">
        <f>H27/D27-F24</f>
        <v>0</v>
      </c>
      <c r="I29" s="133">
        <f>I27/C27-F24</f>
        <v>0</v>
      </c>
    </row>
    <row r="30" spans="1:4" ht="12.75">
      <c r="A30" s="283"/>
      <c r="B30" s="283"/>
      <c r="C30" s="283"/>
      <c r="D30" s="283"/>
    </row>
    <row r="31" ht="12.75">
      <c r="A31" t="s">
        <v>235</v>
      </c>
    </row>
    <row r="32" ht="12.75">
      <c r="A32" s="25" t="s">
        <v>800</v>
      </c>
    </row>
    <row r="33" ht="12.75">
      <c r="A33" s="25" t="s">
        <v>795</v>
      </c>
    </row>
    <row r="34" ht="12.75">
      <c r="A34" s="12" t="s">
        <v>450</v>
      </c>
    </row>
    <row r="35" ht="12.75">
      <c r="A35" s="12" t="s">
        <v>665</v>
      </c>
    </row>
    <row r="36" spans="1:9" ht="12.75">
      <c r="A36" s="27"/>
      <c r="B36" s="27"/>
      <c r="C36" s="27"/>
      <c r="D36" s="27"/>
      <c r="E36" s="27"/>
      <c r="F36" s="27"/>
      <c r="G36" s="27"/>
      <c r="H36" s="27"/>
      <c r="I36" s="27"/>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J25"/>
  <sheetViews>
    <sheetView zoomScale="70" zoomScaleNormal="70" zoomScalePageLayoutView="0" workbookViewId="0" topLeftCell="A1">
      <selection activeCell="A1" sqref="A1"/>
    </sheetView>
  </sheetViews>
  <sheetFormatPr defaultColWidth="9.140625" defaultRowHeight="12.75"/>
  <cols>
    <col min="1" max="1" width="43.421875" style="11" customWidth="1"/>
    <col min="2" max="4" width="11.7109375" style="11" customWidth="1"/>
    <col min="5" max="5" width="2.7109375" style="11" customWidth="1"/>
    <col min="6" max="6" width="11.7109375" style="11" customWidth="1"/>
    <col min="7" max="7" width="2.7109375" style="11" customWidth="1"/>
    <col min="8" max="9" width="11.7109375" style="11" customWidth="1"/>
    <col min="10" max="16384" width="9.140625" style="11" customWidth="1"/>
  </cols>
  <sheetData>
    <row r="1" ht="15.75">
      <c r="A1" s="158" t="s">
        <v>713</v>
      </c>
    </row>
    <row r="2" ht="15.75">
      <c r="A2" s="158" t="s">
        <v>787</v>
      </c>
    </row>
    <row r="3" spans="1:9" s="4" customFormat="1" ht="25.5">
      <c r="A3" s="16" t="s">
        <v>155</v>
      </c>
      <c r="B3" s="168" t="s">
        <v>250</v>
      </c>
      <c r="C3" s="183" t="s">
        <v>104</v>
      </c>
      <c r="D3" s="189" t="s">
        <v>249</v>
      </c>
      <c r="E3" s="161"/>
      <c r="F3" s="160" t="s">
        <v>246</v>
      </c>
      <c r="G3" s="159"/>
      <c r="H3" s="159" t="s">
        <v>133</v>
      </c>
      <c r="I3" s="41" t="s">
        <v>158</v>
      </c>
    </row>
    <row r="4" spans="1:9" ht="12.75">
      <c r="A4" s="21" t="s">
        <v>153</v>
      </c>
      <c r="B4" s="184">
        <v>983.5174207961576</v>
      </c>
      <c r="C4" s="186">
        <f>D4/B4</f>
        <v>0.4028504507218784</v>
      </c>
      <c r="D4" s="191">
        <v>396.21043626055143</v>
      </c>
      <c r="E4" s="192"/>
      <c r="F4" s="192">
        <v>2.276580885233755</v>
      </c>
      <c r="G4" s="192"/>
      <c r="H4" s="186">
        <f>C4*F4</f>
        <v>0.9171216357212311</v>
      </c>
      <c r="I4" s="211">
        <f>B4/B$4*H4</f>
        <v>0.9171216357212311</v>
      </c>
    </row>
    <row r="5" spans="1:9" ht="12.75">
      <c r="A5" s="101" t="s">
        <v>152</v>
      </c>
      <c r="B5" s="184">
        <v>983.5174207961576</v>
      </c>
      <c r="C5" s="186">
        <f>D5/B5</f>
        <v>0.27455925516716945</v>
      </c>
      <c r="D5" s="191">
        <v>270.0338104977286</v>
      </c>
      <c r="E5" s="194"/>
      <c r="F5" s="192">
        <v>2.276580885233755</v>
      </c>
      <c r="G5" s="195"/>
      <c r="H5" s="186">
        <f>C5*F5</f>
        <v>0.625056352177595</v>
      </c>
      <c r="I5" s="211">
        <f>B5/B$4*H5</f>
        <v>0.625056352177595</v>
      </c>
    </row>
    <row r="6" spans="2:9" ht="12.75">
      <c r="B6" s="194"/>
      <c r="C6" s="211"/>
      <c r="D6" s="191"/>
      <c r="E6" s="194"/>
      <c r="F6" s="195"/>
      <c r="G6" s="195"/>
      <c r="H6" s="186"/>
      <c r="I6" s="211"/>
    </row>
    <row r="7" spans="1:10" ht="12.75">
      <c r="A7" s="91" t="s">
        <v>163</v>
      </c>
      <c r="B7" s="194"/>
      <c r="C7" s="211"/>
      <c r="D7" s="191"/>
      <c r="E7" s="194"/>
      <c r="F7" s="195"/>
      <c r="G7" s="195"/>
      <c r="H7" s="186"/>
      <c r="I7" s="186">
        <f>SUM(I4:I5)</f>
        <v>1.542177987898826</v>
      </c>
      <c r="J7" s="25"/>
    </row>
    <row r="8" spans="2:9" ht="12.75">
      <c r="B8" s="194"/>
      <c r="C8" s="211"/>
      <c r="D8" s="191"/>
      <c r="E8" s="194"/>
      <c r="F8" s="195"/>
      <c r="G8" s="195"/>
      <c r="H8" s="186"/>
      <c r="I8" s="211"/>
    </row>
    <row r="9" spans="1:9" ht="12.75">
      <c r="A9" s="5" t="s">
        <v>157</v>
      </c>
      <c r="B9" s="47"/>
      <c r="C9" s="211"/>
      <c r="D9" s="212"/>
      <c r="E9" s="47"/>
      <c r="F9" s="47"/>
      <c r="G9" s="47"/>
      <c r="H9" s="211"/>
      <c r="I9" s="211"/>
    </row>
    <row r="10" spans="1:9" ht="12.75">
      <c r="A10" s="21" t="s">
        <v>153</v>
      </c>
      <c r="B10" s="184">
        <v>17282.98281188398</v>
      </c>
      <c r="C10" s="186">
        <f>D10/B10</f>
        <v>0.40285045072187853</v>
      </c>
      <c r="D10" s="191">
        <v>6962.457415585941</v>
      </c>
      <c r="E10" s="47"/>
      <c r="F10" s="192">
        <v>2.276580885233755</v>
      </c>
      <c r="G10" s="47"/>
      <c r="H10" s="186">
        <f>C10*F10</f>
        <v>0.9171216357212313</v>
      </c>
      <c r="I10" s="211">
        <f>B10/B$10*H10</f>
        <v>0.9171216357212313</v>
      </c>
    </row>
    <row r="11" spans="1:9" ht="12.75">
      <c r="A11" s="101" t="s">
        <v>152</v>
      </c>
      <c r="B11" s="184">
        <v>17282.98281188398</v>
      </c>
      <c r="C11" s="186">
        <f>D11/B11</f>
        <v>0.2745592551671695</v>
      </c>
      <c r="D11" s="191">
        <v>4745.202887897858</v>
      </c>
      <c r="E11" s="47"/>
      <c r="F11" s="192">
        <v>2.276580885233755</v>
      </c>
      <c r="G11" s="47"/>
      <c r="H11" s="186">
        <f>C11*F11</f>
        <v>0.6250563521775951</v>
      </c>
      <c r="I11" s="211">
        <f>B11/B$10*H11</f>
        <v>0.6250563521775951</v>
      </c>
    </row>
    <row r="12" spans="2:9" ht="12.75">
      <c r="B12" s="47"/>
      <c r="C12" s="47"/>
      <c r="D12" s="47"/>
      <c r="E12" s="47"/>
      <c r="F12" s="47"/>
      <c r="G12" s="47"/>
      <c r="H12" s="47"/>
      <c r="I12" s="211"/>
    </row>
    <row r="13" spans="1:9" ht="12.75">
      <c r="A13" s="91" t="s">
        <v>266</v>
      </c>
      <c r="B13" s="47"/>
      <c r="C13" s="47"/>
      <c r="D13" s="47"/>
      <c r="E13" s="47"/>
      <c r="F13" s="47"/>
      <c r="G13" s="47"/>
      <c r="H13" s="47"/>
      <c r="I13" s="186">
        <f>SUM(I10:I11)</f>
        <v>1.5421779878988264</v>
      </c>
    </row>
    <row r="14" ht="12.75" hidden="1"/>
    <row r="15" spans="2:6" ht="12.75" hidden="1">
      <c r="B15" s="549" t="s">
        <v>188</v>
      </c>
      <c r="C15" s="128">
        <v>0</v>
      </c>
      <c r="D15" s="128">
        <v>0</v>
      </c>
      <c r="F15" s="128">
        <f>(I7*B4+I13*B10)-SUM(D4:D5,D10:D11)*F4</f>
        <v>0</v>
      </c>
    </row>
    <row r="16" spans="2:6" ht="12.75" hidden="1">
      <c r="B16" s="549" t="s">
        <v>188</v>
      </c>
      <c r="C16" s="128">
        <v>0</v>
      </c>
      <c r="D16" s="128">
        <v>0</v>
      </c>
      <c r="F16" s="53"/>
    </row>
    <row r="17" spans="2:4" ht="12.75" hidden="1">
      <c r="B17" s="549" t="s">
        <v>188</v>
      </c>
      <c r="C17" s="128"/>
      <c r="D17" s="128">
        <v>0</v>
      </c>
    </row>
    <row r="18" spans="2:4" ht="12.75" hidden="1">
      <c r="B18" s="549" t="s">
        <v>188</v>
      </c>
      <c r="C18" s="128">
        <v>0</v>
      </c>
      <c r="D18" s="128">
        <v>0</v>
      </c>
    </row>
    <row r="19" spans="2:4" ht="12.75" hidden="1">
      <c r="B19" s="549" t="s">
        <v>188</v>
      </c>
      <c r="C19" s="128">
        <v>0</v>
      </c>
      <c r="D19" s="128">
        <v>0</v>
      </c>
    </row>
    <row r="20" spans="2:4" ht="12.75" hidden="1">
      <c r="B20" s="549" t="s">
        <v>188</v>
      </c>
      <c r="C20" s="128"/>
      <c r="D20" s="128">
        <v>0</v>
      </c>
    </row>
    <row r="21" spans="1:4" ht="12.75" hidden="1">
      <c r="A21" s="4"/>
      <c r="B21" s="550" t="s">
        <v>188</v>
      </c>
      <c r="C21" s="139">
        <f>C4-C10</f>
        <v>0</v>
      </c>
      <c r="D21" s="139">
        <f>C5-C11</f>
        <v>0</v>
      </c>
    </row>
    <row r="22" spans="1:4" ht="12.75">
      <c r="A22" s="141"/>
      <c r="B22" s="295"/>
      <c r="C22" s="296"/>
      <c r="D22" s="296"/>
    </row>
    <row r="23" ht="12.75">
      <c r="A23" s="11" t="s">
        <v>235</v>
      </c>
    </row>
    <row r="24" ht="12.75">
      <c r="A24" s="25" t="s">
        <v>814</v>
      </c>
    </row>
    <row r="25" ht="12.75">
      <c r="A25" s="25" t="s">
        <v>795</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J39"/>
  <sheetViews>
    <sheetView zoomScale="70" zoomScaleNormal="70" zoomScalePageLayoutView="0" workbookViewId="0" topLeftCell="A1">
      <selection activeCell="A1" sqref="A1"/>
    </sheetView>
  </sheetViews>
  <sheetFormatPr defaultColWidth="9.140625" defaultRowHeight="12.75"/>
  <cols>
    <col min="1" max="1" width="43.421875" style="11" customWidth="1"/>
    <col min="2" max="2" width="11.7109375" style="63" customWidth="1"/>
    <col min="3" max="3" width="11.7109375" style="64" customWidth="1"/>
    <col min="4" max="4" width="11.7109375" style="77" customWidth="1"/>
    <col min="5" max="5" width="2.57421875" style="11" customWidth="1"/>
    <col min="6" max="6" width="11.7109375" style="11" customWidth="1"/>
    <col min="7" max="7" width="2.57421875" style="11" customWidth="1"/>
    <col min="8" max="9" width="11.7109375" style="11" customWidth="1"/>
    <col min="10" max="16384" width="9.140625" style="11" customWidth="1"/>
  </cols>
  <sheetData>
    <row r="1" ht="15.75">
      <c r="A1" s="158" t="s">
        <v>714</v>
      </c>
    </row>
    <row r="2" ht="15.75">
      <c r="A2" s="158" t="s">
        <v>787</v>
      </c>
    </row>
    <row r="3" spans="2:9" s="4" customFormat="1" ht="25.5">
      <c r="B3" s="168" t="s">
        <v>250</v>
      </c>
      <c r="C3" s="183" t="s">
        <v>104</v>
      </c>
      <c r="D3" s="189" t="s">
        <v>249</v>
      </c>
      <c r="E3" s="161"/>
      <c r="F3" s="160" t="s">
        <v>246</v>
      </c>
      <c r="G3" s="159"/>
      <c r="H3" s="159" t="s">
        <v>133</v>
      </c>
      <c r="I3" s="41" t="s">
        <v>158</v>
      </c>
    </row>
    <row r="4" spans="1:8" ht="12.75">
      <c r="A4" s="16" t="s">
        <v>155</v>
      </c>
      <c r="B4" s="50"/>
      <c r="C4" s="38"/>
      <c r="E4" s="4"/>
      <c r="F4" s="4"/>
      <c r="G4" s="4"/>
      <c r="H4" s="38"/>
    </row>
    <row r="5" spans="1:9" ht="12.75">
      <c r="A5" s="97" t="s">
        <v>156</v>
      </c>
      <c r="B5" s="184">
        <v>665.4057282751475</v>
      </c>
      <c r="C5" s="186">
        <f>D5/B5</f>
        <v>0.2984334802609911</v>
      </c>
      <c r="D5" s="191">
        <v>198.57934727475163</v>
      </c>
      <c r="E5" s="188"/>
      <c r="F5" s="192">
        <v>1.359485895130023</v>
      </c>
      <c r="G5" s="192"/>
      <c r="H5" s="186">
        <f>C5*F5</f>
        <v>0.40571610704938155</v>
      </c>
      <c r="I5" s="211">
        <f>H5*B5/$B$5</f>
        <v>0.40571610704938155</v>
      </c>
    </row>
    <row r="6" spans="1:9" ht="12.75">
      <c r="A6" s="97" t="s">
        <v>160</v>
      </c>
      <c r="B6" s="184"/>
      <c r="C6" s="186"/>
      <c r="D6" s="191"/>
      <c r="E6" s="188"/>
      <c r="F6" s="192"/>
      <c r="G6" s="192"/>
      <c r="H6" s="186"/>
      <c r="I6" s="211"/>
    </row>
    <row r="7" spans="1:9" ht="12.75">
      <c r="A7" s="99" t="s">
        <v>161</v>
      </c>
      <c r="B7" s="184">
        <v>90.71376383398223</v>
      </c>
      <c r="C7" s="186">
        <f>D7/B7</f>
        <v>0.33151577415804934</v>
      </c>
      <c r="D7" s="191">
        <v>30.073043644213076</v>
      </c>
      <c r="E7" s="188"/>
      <c r="F7" s="192">
        <v>1.359485895130023</v>
      </c>
      <c r="G7" s="192"/>
      <c r="H7" s="186">
        <f>C7*F7</f>
        <v>0.45069101898097824</v>
      </c>
      <c r="I7" s="211">
        <f>H7*B7/$B$5</f>
        <v>0.06144202990845255</v>
      </c>
    </row>
    <row r="8" spans="1:9" ht="12.75">
      <c r="A8" s="99" t="s">
        <v>162</v>
      </c>
      <c r="B8" s="184">
        <v>256.58027192015544</v>
      </c>
      <c r="C8" s="186">
        <f>D8/B8</f>
        <v>0.33151577415804934</v>
      </c>
      <c r="D8" s="191">
        <v>85.06040747929313</v>
      </c>
      <c r="E8" s="188"/>
      <c r="F8" s="192">
        <v>1.359485895130023</v>
      </c>
      <c r="G8" s="192"/>
      <c r="H8" s="186">
        <f>C8*F8</f>
        <v>0.45069101898097824</v>
      </c>
      <c r="I8" s="211">
        <f>H8*B8/$B$5</f>
        <v>0.17378633709972283</v>
      </c>
    </row>
    <row r="9" spans="1:9" ht="12.75">
      <c r="A9" s="100" t="s">
        <v>159</v>
      </c>
      <c r="B9" s="184">
        <v>318.1116925210099</v>
      </c>
      <c r="C9" s="186">
        <f>D9/B9</f>
        <v>0.33151577415804934</v>
      </c>
      <c r="D9" s="191">
        <v>105.45904401482996</v>
      </c>
      <c r="E9" s="188"/>
      <c r="F9" s="192">
        <v>1.359485895130023</v>
      </c>
      <c r="G9" s="192"/>
      <c r="H9" s="186">
        <f>C9*F9</f>
        <v>0.45069101898097824</v>
      </c>
      <c r="I9" s="211">
        <f>H9*B9/$B$5</f>
        <v>0.21546265197280295</v>
      </c>
    </row>
    <row r="10" spans="1:9" ht="12.75">
      <c r="A10" s="100"/>
      <c r="B10" s="184"/>
      <c r="C10" s="186"/>
      <c r="D10" s="191"/>
      <c r="E10" s="188"/>
      <c r="F10" s="192"/>
      <c r="G10" s="192"/>
      <c r="H10" s="186"/>
      <c r="I10" s="211"/>
    </row>
    <row r="11" spans="1:10" ht="12.75">
      <c r="A11" s="91" t="s">
        <v>163</v>
      </c>
      <c r="B11" s="213"/>
      <c r="C11" s="187"/>
      <c r="D11" s="191"/>
      <c r="E11" s="188"/>
      <c r="F11" s="195"/>
      <c r="G11" s="195"/>
      <c r="H11" s="211"/>
      <c r="I11" s="211">
        <f>SUM(I5:I9)</f>
        <v>0.8564071260303598</v>
      </c>
      <c r="J11" s="25"/>
    </row>
    <row r="12" spans="1:9" ht="12.75">
      <c r="A12" s="4"/>
      <c r="B12" s="213"/>
      <c r="C12" s="187"/>
      <c r="D12" s="191"/>
      <c r="E12" s="188"/>
      <c r="F12" s="195"/>
      <c r="G12" s="195"/>
      <c r="H12" s="211"/>
      <c r="I12" s="211"/>
    </row>
    <row r="13" spans="1:9" ht="12.75">
      <c r="A13" s="5" t="s">
        <v>157</v>
      </c>
      <c r="B13" s="213"/>
      <c r="C13" s="187"/>
      <c r="D13" s="191"/>
      <c r="E13" s="188"/>
      <c r="F13" s="195"/>
      <c r="G13" s="195"/>
      <c r="H13" s="211"/>
      <c r="I13" s="211"/>
    </row>
    <row r="14" spans="1:9" ht="12.75">
      <c r="A14" s="97" t="s">
        <v>156</v>
      </c>
      <c r="B14" s="184">
        <v>13483.72853600815</v>
      </c>
      <c r="C14" s="186">
        <f>D14/B14</f>
        <v>0.29843348026099126</v>
      </c>
      <c r="D14" s="191">
        <v>4023.996033895353</v>
      </c>
      <c r="E14" s="188"/>
      <c r="F14" s="192">
        <v>1.359485895130023</v>
      </c>
      <c r="G14" s="192"/>
      <c r="H14" s="186">
        <f>C14*F14</f>
        <v>0.40571610704938177</v>
      </c>
      <c r="I14" s="211">
        <f>B14/$B$14*H14</f>
        <v>0.40571610704938177</v>
      </c>
    </row>
    <row r="15" spans="1:9" ht="12.75">
      <c r="A15" s="97" t="s">
        <v>160</v>
      </c>
      <c r="B15" s="214"/>
      <c r="C15" s="211"/>
      <c r="D15" s="212"/>
      <c r="E15" s="47"/>
      <c r="F15" s="47"/>
      <c r="G15" s="47"/>
      <c r="H15" s="211"/>
      <c r="I15" s="211"/>
    </row>
    <row r="16" spans="1:9" ht="12.75">
      <c r="A16" s="99" t="s">
        <v>161</v>
      </c>
      <c r="B16" s="184">
        <v>8744.770318854087</v>
      </c>
      <c r="C16" s="186">
        <f>D16/B16</f>
        <v>0.33151577415804956</v>
      </c>
      <c r="D16" s="191">
        <v>2899.029302089247</v>
      </c>
      <c r="E16" s="188"/>
      <c r="F16" s="192">
        <v>1.359485895130023</v>
      </c>
      <c r="G16" s="192"/>
      <c r="H16" s="186">
        <f>C16*F16</f>
        <v>0.4506910189809786</v>
      </c>
      <c r="I16" s="211">
        <f>B16/$B$14*H16</f>
        <v>0.2922922569402122</v>
      </c>
    </row>
    <row r="17" spans="1:9" ht="12.75">
      <c r="A17" s="99" t="s">
        <v>162</v>
      </c>
      <c r="B17" s="184">
        <v>939.7039412782316</v>
      </c>
      <c r="C17" s="186">
        <f>D17/B17</f>
        <v>0.3315157741580495</v>
      </c>
      <c r="D17" s="191">
        <v>311.52667957222326</v>
      </c>
      <c r="E17" s="188"/>
      <c r="F17" s="192">
        <v>1.359485895130023</v>
      </c>
      <c r="G17" s="47"/>
      <c r="H17" s="186">
        <f>C17*F17</f>
        <v>0.45069101898097846</v>
      </c>
      <c r="I17" s="211">
        <f>B17/$B$14*H17</f>
        <v>0.031409422527614125</v>
      </c>
    </row>
    <row r="18" spans="1:9" ht="12.75">
      <c r="A18" s="100" t="s">
        <v>159</v>
      </c>
      <c r="B18" s="184">
        <v>3799.2542758758295</v>
      </c>
      <c r="C18" s="186">
        <f>D18/B18</f>
        <v>0.33151577415804956</v>
      </c>
      <c r="D18" s="191">
        <v>1259.5127224902556</v>
      </c>
      <c r="E18" s="188"/>
      <c r="F18" s="192">
        <v>1.359485895130023</v>
      </c>
      <c r="G18" s="47"/>
      <c r="H18" s="186">
        <f>C18*F18</f>
        <v>0.4506910189809786</v>
      </c>
      <c r="I18" s="211">
        <f>B18/$B$14*H18</f>
        <v>0.1269893395131522</v>
      </c>
    </row>
    <row r="19" spans="1:9" ht="12.75">
      <c r="A19" s="100"/>
      <c r="B19" s="185"/>
      <c r="C19" s="185"/>
      <c r="D19" s="184"/>
      <c r="E19" s="188"/>
      <c r="F19" s="192"/>
      <c r="G19" s="47"/>
      <c r="H19" s="185"/>
      <c r="I19" s="211"/>
    </row>
    <row r="20" spans="1:9" ht="12.75">
      <c r="A20" s="91" t="s">
        <v>266</v>
      </c>
      <c r="B20" s="215"/>
      <c r="C20" s="216"/>
      <c r="D20" s="214"/>
      <c r="E20" s="47"/>
      <c r="F20" s="47"/>
      <c r="G20" s="47"/>
      <c r="H20" s="47"/>
      <c r="I20" s="211">
        <f>SUM(I14:I18)</f>
        <v>0.8564071260303603</v>
      </c>
    </row>
    <row r="21" ht="12.75" hidden="1"/>
    <row r="22" spans="2:4" ht="12.75" hidden="1">
      <c r="B22" s="549" t="s">
        <v>188</v>
      </c>
      <c r="C22" s="128">
        <v>0</v>
      </c>
      <c r="D22" s="128">
        <v>0</v>
      </c>
    </row>
    <row r="23" spans="2:4" ht="12.75" hidden="1">
      <c r="B23" s="549" t="s">
        <v>188</v>
      </c>
      <c r="C23" s="128">
        <v>0</v>
      </c>
      <c r="D23" s="128">
        <v>0</v>
      </c>
    </row>
    <row r="24" spans="2:4" ht="12.75" hidden="1">
      <c r="B24" s="549" t="s">
        <v>188</v>
      </c>
      <c r="C24" s="128">
        <v>0</v>
      </c>
      <c r="D24" s="128">
        <v>0</v>
      </c>
    </row>
    <row r="25" spans="2:4" ht="12.75" hidden="1">
      <c r="B25" s="549" t="s">
        <v>188</v>
      </c>
      <c r="C25" s="128">
        <v>0</v>
      </c>
      <c r="D25" s="128">
        <v>0</v>
      </c>
    </row>
    <row r="26" spans="2:4" ht="12.75" hidden="1">
      <c r="B26" s="549" t="s">
        <v>188</v>
      </c>
      <c r="C26" s="130"/>
      <c r="D26" s="128">
        <v>0</v>
      </c>
    </row>
    <row r="27" spans="2:4" ht="12.75" hidden="1">
      <c r="B27" s="549" t="s">
        <v>188</v>
      </c>
      <c r="C27" s="128">
        <v>0</v>
      </c>
      <c r="D27" s="128">
        <v>0</v>
      </c>
    </row>
    <row r="28" spans="2:4" ht="12.75" hidden="1">
      <c r="B28" s="549" t="s">
        <v>188</v>
      </c>
      <c r="C28" s="128">
        <v>0</v>
      </c>
      <c r="D28" s="128">
        <v>0</v>
      </c>
    </row>
    <row r="29" spans="2:4" ht="12.75" hidden="1">
      <c r="B29" s="549" t="s">
        <v>188</v>
      </c>
      <c r="C29" s="128">
        <v>0</v>
      </c>
      <c r="D29" s="128">
        <v>0</v>
      </c>
    </row>
    <row r="30" spans="2:4" ht="12.75" hidden="1">
      <c r="B30" s="549" t="s">
        <v>188</v>
      </c>
      <c r="C30" s="128">
        <v>0</v>
      </c>
      <c r="D30" s="128">
        <v>0</v>
      </c>
    </row>
    <row r="31" spans="2:4" ht="12.75" hidden="1">
      <c r="B31" s="549" t="s">
        <v>188</v>
      </c>
      <c r="C31" s="130"/>
      <c r="D31" s="128">
        <v>0</v>
      </c>
    </row>
    <row r="32" spans="2:4" ht="12.75" hidden="1">
      <c r="B32" s="550" t="s">
        <v>188</v>
      </c>
      <c r="C32" s="128">
        <f>C5-C14</f>
        <v>0</v>
      </c>
      <c r="D32" s="128">
        <f>B5-B7-B8-B9</f>
        <v>0</v>
      </c>
    </row>
    <row r="33" spans="2:4" ht="12.75" hidden="1">
      <c r="B33" s="550" t="s">
        <v>188</v>
      </c>
      <c r="C33" s="128">
        <f>C7-C16</f>
        <v>0</v>
      </c>
      <c r="D33" s="128">
        <f>B14-B16-B17-B18</f>
        <v>0</v>
      </c>
    </row>
    <row r="34" spans="2:3" ht="12.75" hidden="1">
      <c r="B34" s="550" t="s">
        <v>188</v>
      </c>
      <c r="C34" s="128">
        <f>C8-C17</f>
        <v>0</v>
      </c>
    </row>
    <row r="35" spans="2:3" ht="12.75" hidden="1">
      <c r="B35" s="550" t="s">
        <v>188</v>
      </c>
      <c r="C35" s="128">
        <f>C9-C18</f>
        <v>0</v>
      </c>
    </row>
    <row r="36" spans="1:4" ht="12.75">
      <c r="A36" s="141"/>
      <c r="B36" s="297"/>
      <c r="C36" s="293"/>
      <c r="D36" s="298"/>
    </row>
    <row r="37" ht="12.75">
      <c r="A37" s="11" t="s">
        <v>235</v>
      </c>
    </row>
    <row r="38" ht="12.75">
      <c r="A38" s="25" t="s">
        <v>814</v>
      </c>
    </row>
    <row r="39" ht="12.75">
      <c r="A39" s="25" t="s">
        <v>795</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K23"/>
  <sheetViews>
    <sheetView zoomScale="70" zoomScaleNormal="70" zoomScalePageLayoutView="0" workbookViewId="0" topLeftCell="A1">
      <selection activeCell="A1" sqref="A1"/>
    </sheetView>
  </sheetViews>
  <sheetFormatPr defaultColWidth="9.140625" defaultRowHeight="12.75"/>
  <cols>
    <col min="1" max="1" width="43.421875" style="11" customWidth="1"/>
    <col min="2" max="2" width="11.7109375" style="77" customWidth="1"/>
    <col min="3" max="3" width="11.7109375" style="62" customWidth="1"/>
    <col min="4" max="4" width="11.7109375" style="63" customWidth="1"/>
    <col min="5" max="5" width="2.57421875" style="11" customWidth="1"/>
    <col min="6" max="6" width="11.7109375" style="11" customWidth="1"/>
    <col min="7" max="7" width="2.57421875" style="11" customWidth="1"/>
    <col min="8" max="8" width="11.7109375" style="64" customWidth="1"/>
    <col min="9" max="9" width="11.7109375" style="11" customWidth="1"/>
    <col min="10" max="16384" width="9.140625" style="11" customWidth="1"/>
  </cols>
  <sheetData>
    <row r="1" spans="1:8" s="24" customFormat="1" ht="15.75">
      <c r="A1" s="157" t="s">
        <v>715</v>
      </c>
      <c r="B1" s="93"/>
      <c r="C1" s="94"/>
      <c r="D1" s="95"/>
      <c r="H1" s="96"/>
    </row>
    <row r="2" spans="1:8" ht="15.75">
      <c r="A2" s="158" t="s">
        <v>787</v>
      </c>
      <c r="B2" s="73"/>
      <c r="C2" s="59"/>
      <c r="D2" s="60"/>
      <c r="E2" s="36"/>
      <c r="F2" s="36"/>
      <c r="G2" s="36"/>
      <c r="H2" s="61"/>
    </row>
    <row r="3" spans="1:9" s="4" customFormat="1" ht="25.5">
      <c r="A3" s="16" t="s">
        <v>155</v>
      </c>
      <c r="B3" s="168" t="s">
        <v>250</v>
      </c>
      <c r="C3" s="183" t="s">
        <v>104</v>
      </c>
      <c r="D3" s="189" t="s">
        <v>249</v>
      </c>
      <c r="E3" s="161"/>
      <c r="F3" s="160" t="s">
        <v>246</v>
      </c>
      <c r="G3" s="159"/>
      <c r="H3" s="159" t="s">
        <v>133</v>
      </c>
      <c r="I3" s="41" t="s">
        <v>158</v>
      </c>
    </row>
    <row r="4" spans="1:11" ht="12.75">
      <c r="A4" s="97" t="s">
        <v>154</v>
      </c>
      <c r="B4" s="7">
        <v>155.83177964204046</v>
      </c>
      <c r="C4" s="187">
        <f>D4/B4</f>
        <v>0.32218030284155197</v>
      </c>
      <c r="D4" s="193">
        <v>50.20592995741059</v>
      </c>
      <c r="E4" s="58"/>
      <c r="F4" s="192">
        <v>1.4320890261407249</v>
      </c>
      <c r="G4" s="192"/>
      <c r="H4" s="186">
        <f>C4*F4</f>
        <v>0.461390876138082</v>
      </c>
      <c r="I4" s="187">
        <f>D4/SUM($D$4:$D$5)*H4</f>
        <v>0.2260192348461034</v>
      </c>
      <c r="J4" s="187"/>
      <c r="K4" s="63"/>
    </row>
    <row r="5" spans="1:11" ht="12.75">
      <c r="A5" s="98" t="s">
        <v>165</v>
      </c>
      <c r="B5" s="7">
        <v>162.27991287896944</v>
      </c>
      <c r="C5" s="187">
        <f>D5/B5</f>
        <v>0.322180302841552</v>
      </c>
      <c r="D5" s="193">
        <v>52.28339147644705</v>
      </c>
      <c r="E5" s="58"/>
      <c r="F5" s="192">
        <v>1.4320890261407249</v>
      </c>
      <c r="G5" s="192"/>
      <c r="H5" s="186">
        <f>C5*F5</f>
        <v>0.46139087613808205</v>
      </c>
      <c r="I5" s="187">
        <f>D5/SUM($D$4:$D$5)*H5</f>
        <v>0.2353716412919786</v>
      </c>
      <c r="J5" s="187"/>
      <c r="K5" s="63"/>
    </row>
    <row r="6" spans="1:10" ht="12.75">
      <c r="A6" s="4"/>
      <c r="B6" s="217"/>
      <c r="C6" s="187"/>
      <c r="D6" s="191"/>
      <c r="E6" s="188"/>
      <c r="F6" s="195"/>
      <c r="G6" s="195"/>
      <c r="H6" s="186"/>
      <c r="I6" s="187"/>
      <c r="J6" s="187"/>
    </row>
    <row r="7" spans="1:10" ht="12.75">
      <c r="A7" s="91" t="s">
        <v>163</v>
      </c>
      <c r="B7" s="217"/>
      <c r="C7" s="187"/>
      <c r="D7" s="191"/>
      <c r="E7" s="188"/>
      <c r="F7" s="195"/>
      <c r="G7" s="195"/>
      <c r="H7" s="186"/>
      <c r="I7" s="187">
        <f>SUM(I4:I5)</f>
        <v>0.461390876138082</v>
      </c>
      <c r="J7" s="286"/>
    </row>
    <row r="8" spans="1:10" ht="12.75">
      <c r="A8" s="4"/>
      <c r="B8" s="217"/>
      <c r="C8" s="187"/>
      <c r="D8" s="191"/>
      <c r="E8" s="188"/>
      <c r="F8" s="195"/>
      <c r="G8" s="195"/>
      <c r="H8" s="186"/>
      <c r="I8" s="187"/>
      <c r="J8" s="187"/>
    </row>
    <row r="9" spans="1:11" ht="12.75">
      <c r="A9" s="5" t="s">
        <v>157</v>
      </c>
      <c r="B9" s="215"/>
      <c r="C9" s="211"/>
      <c r="D9" s="212"/>
      <c r="E9" s="47"/>
      <c r="F9" s="47"/>
      <c r="G9" s="47"/>
      <c r="H9" s="211"/>
      <c r="I9" s="211"/>
      <c r="J9" s="211"/>
      <c r="K9" s="63"/>
    </row>
    <row r="10" spans="1:10" ht="12.75">
      <c r="A10" s="97" t="s">
        <v>154</v>
      </c>
      <c r="B10" s="7">
        <v>1311.5799060869804</v>
      </c>
      <c r="C10" s="187">
        <f>D10/B10</f>
        <v>0.3221803028415519</v>
      </c>
      <c r="D10" s="193">
        <v>422.5652113439976</v>
      </c>
      <c r="E10" s="58"/>
      <c r="F10" s="192">
        <v>1.4320890261407249</v>
      </c>
      <c r="G10" s="192"/>
      <c r="H10" s="186">
        <f>C10*F10</f>
        <v>0.4613908761380819</v>
      </c>
      <c r="I10" s="187">
        <f>D10/SUM($D$10:$D$11)*H10</f>
        <v>0.32682829008555003</v>
      </c>
      <c r="J10" s="187"/>
    </row>
    <row r="11" spans="1:10" ht="12.75">
      <c r="A11" s="98" t="s">
        <v>165</v>
      </c>
      <c r="B11" s="7">
        <v>540.0070597664705</v>
      </c>
      <c r="C11" s="187">
        <f>D11/B11</f>
        <v>0.32218030284155197</v>
      </c>
      <c r="D11" s="193">
        <v>173.97963805213755</v>
      </c>
      <c r="E11" s="47"/>
      <c r="F11" s="192">
        <v>1.4320890261407249</v>
      </c>
      <c r="G11" s="47"/>
      <c r="H11" s="186">
        <f>C11*F11</f>
        <v>0.461390876138082</v>
      </c>
      <c r="I11" s="187">
        <f>D11/SUM($D$10:$D$11)*H11</f>
        <v>0.13456258605253194</v>
      </c>
      <c r="J11" s="187"/>
    </row>
    <row r="12" spans="2:10" ht="12.75">
      <c r="B12" s="214"/>
      <c r="C12" s="218"/>
      <c r="D12" s="215"/>
      <c r="E12" s="47"/>
      <c r="F12" s="47"/>
      <c r="G12" s="47"/>
      <c r="H12" s="211"/>
      <c r="I12" s="211"/>
      <c r="J12" s="211"/>
    </row>
    <row r="13" spans="1:10" ht="12.75">
      <c r="A13" s="91" t="s">
        <v>266</v>
      </c>
      <c r="B13" s="214"/>
      <c r="C13" s="218"/>
      <c r="D13" s="7"/>
      <c r="E13" s="47"/>
      <c r="F13" s="47"/>
      <c r="G13" s="47"/>
      <c r="H13" s="211"/>
      <c r="I13" s="187">
        <f>SUM(I10:I11)</f>
        <v>0.46139087613808194</v>
      </c>
      <c r="J13" s="187"/>
    </row>
    <row r="14" ht="12.75" hidden="1"/>
    <row r="15" spans="2:9" ht="12.75" hidden="1">
      <c r="B15" s="549" t="s">
        <v>188</v>
      </c>
      <c r="C15" s="128">
        <v>0</v>
      </c>
      <c r="D15" s="128">
        <v>0</v>
      </c>
      <c r="I15" s="63"/>
    </row>
    <row r="16" spans="2:4" ht="12.75" hidden="1">
      <c r="B16" s="549" t="s">
        <v>188</v>
      </c>
      <c r="C16" s="128">
        <v>0</v>
      </c>
      <c r="D16" s="128">
        <v>0</v>
      </c>
    </row>
    <row r="17" spans="2:4" ht="12.75" hidden="1">
      <c r="B17" s="549" t="s">
        <v>188</v>
      </c>
      <c r="C17" s="128">
        <v>0</v>
      </c>
      <c r="D17" s="128">
        <v>0</v>
      </c>
    </row>
    <row r="18" spans="2:4" ht="12.75" hidden="1">
      <c r="B18" s="549" t="s">
        <v>188</v>
      </c>
      <c r="C18" s="128">
        <v>0</v>
      </c>
      <c r="D18" s="128">
        <v>0</v>
      </c>
    </row>
    <row r="19" spans="2:4" ht="12.75" hidden="1">
      <c r="B19" s="549" t="s">
        <v>188</v>
      </c>
      <c r="C19" s="128">
        <f>C4-C10</f>
        <v>0</v>
      </c>
      <c r="D19" s="128">
        <f>C5-C11</f>
        <v>0</v>
      </c>
    </row>
    <row r="20" spans="1:4" ht="12.75">
      <c r="A20" s="141"/>
      <c r="B20" s="298"/>
      <c r="C20" s="290"/>
      <c r="D20" s="297"/>
    </row>
    <row r="21" ht="12.75">
      <c r="A21" s="11" t="s">
        <v>235</v>
      </c>
    </row>
    <row r="22" ht="12.75">
      <c r="A22" s="25" t="s">
        <v>814</v>
      </c>
    </row>
    <row r="23" ht="12.75">
      <c r="A23" s="25" t="s">
        <v>795</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H22"/>
  <sheetViews>
    <sheetView zoomScale="70" zoomScaleNormal="70" zoomScalePageLayoutView="0" workbookViewId="0" topLeftCell="A1">
      <selection activeCell="A1" sqref="A1"/>
    </sheetView>
  </sheetViews>
  <sheetFormatPr defaultColWidth="9.140625" defaultRowHeight="12.75"/>
  <cols>
    <col min="1" max="1" width="33.421875" style="0" bestFit="1" customWidth="1"/>
    <col min="2" max="2" width="11.7109375" style="0" customWidth="1"/>
    <col min="3" max="3" width="3.57421875" style="0" customWidth="1"/>
    <col min="4" max="4" width="11.7109375" style="0" customWidth="1"/>
    <col min="5" max="5" width="3.57421875" style="0" customWidth="1"/>
    <col min="6" max="6" width="11.7109375" style="0" customWidth="1"/>
    <col min="7" max="7" width="3.57421875" style="0" customWidth="1"/>
    <col min="8" max="8" width="9.7109375" style="0" customWidth="1"/>
  </cols>
  <sheetData>
    <row r="1" ht="15.75">
      <c r="A1" s="157" t="s">
        <v>716</v>
      </c>
    </row>
    <row r="2" ht="15.75">
      <c r="A2" s="158" t="s">
        <v>787</v>
      </c>
    </row>
    <row r="3" ht="15.75">
      <c r="A3" s="454"/>
    </row>
    <row r="4" ht="12.75">
      <c r="A4" s="16" t="s">
        <v>512</v>
      </c>
    </row>
    <row r="5" spans="1:8" ht="25.5">
      <c r="A5" s="18"/>
      <c r="B5" s="168" t="s">
        <v>514</v>
      </c>
      <c r="C5" s="168"/>
      <c r="D5" s="168" t="s">
        <v>515</v>
      </c>
      <c r="E5" s="168"/>
      <c r="F5" s="168" t="s">
        <v>516</v>
      </c>
      <c r="G5" s="168"/>
      <c r="H5" s="168"/>
    </row>
    <row r="6" spans="1:7" ht="12.75">
      <c r="A6" s="25" t="s">
        <v>99</v>
      </c>
      <c r="B6" s="6">
        <v>0</v>
      </c>
      <c r="C6" s="292" t="s">
        <v>236</v>
      </c>
      <c r="D6" s="6">
        <f>F6-B6</f>
        <v>983.5174207961576</v>
      </c>
      <c r="E6" s="6"/>
      <c r="F6" s="6">
        <f>'Table 3.32-Accounting Post Due'!B4</f>
        <v>983.5174207961576</v>
      </c>
      <c r="G6" s="292" t="s">
        <v>238</v>
      </c>
    </row>
    <row r="7" spans="1:8" ht="12.75">
      <c r="A7" s="25" t="s">
        <v>100</v>
      </c>
      <c r="B7" s="6">
        <v>0</v>
      </c>
      <c r="C7" s="292" t="s">
        <v>236</v>
      </c>
      <c r="D7" s="6">
        <f>F7-B7</f>
        <v>665.4057282751475</v>
      </c>
      <c r="E7" s="6"/>
      <c r="F7" s="6">
        <f>'Table 3.33-Delivery Post Due'!B5</f>
        <v>665.4057282751475</v>
      </c>
      <c r="G7" s="292" t="s">
        <v>239</v>
      </c>
      <c r="H7" s="234"/>
    </row>
    <row r="8" spans="1:8" ht="12.75">
      <c r="A8" s="20" t="s">
        <v>210</v>
      </c>
      <c r="B8" s="6">
        <v>0</v>
      </c>
      <c r="C8" s="292" t="s">
        <v>236</v>
      </c>
      <c r="D8" s="324">
        <f>F8-B8</f>
        <v>318.1116925210099</v>
      </c>
      <c r="E8" s="324"/>
      <c r="F8" s="324">
        <f>SUM('Table 3.34-Window Post Due'!B4:B5)</f>
        <v>318.1116925210099</v>
      </c>
      <c r="G8" s="299" t="s">
        <v>240</v>
      </c>
      <c r="H8" s="496"/>
    </row>
    <row r="11" ht="12.75">
      <c r="A11" s="493" t="s">
        <v>513</v>
      </c>
    </row>
    <row r="12" spans="2:8" ht="25.5">
      <c r="B12" s="168" t="s">
        <v>514</v>
      </c>
      <c r="C12" s="168"/>
      <c r="D12" s="168" t="s">
        <v>515</v>
      </c>
      <c r="E12" s="168"/>
      <c r="F12" s="168" t="s">
        <v>516</v>
      </c>
      <c r="G12" s="168"/>
      <c r="H12" s="168"/>
    </row>
    <row r="13" spans="1:8" ht="12.75">
      <c r="A13" s="18"/>
      <c r="B13" s="221" t="s">
        <v>511</v>
      </c>
      <c r="C13" s="221"/>
      <c r="D13" s="221" t="s">
        <v>511</v>
      </c>
      <c r="E13" s="221"/>
      <c r="F13" s="221" t="s">
        <v>511</v>
      </c>
      <c r="G13" s="221"/>
      <c r="H13" s="495"/>
    </row>
    <row r="14" spans="1:7" ht="12.75">
      <c r="A14" s="25" t="s">
        <v>99</v>
      </c>
      <c r="B14" s="6">
        <v>7846.497010377805</v>
      </c>
      <c r="C14" s="292" t="s">
        <v>236</v>
      </c>
      <c r="D14" s="6">
        <f>F14-B14</f>
        <v>9436.485801506175</v>
      </c>
      <c r="E14" s="6"/>
      <c r="F14" s="6">
        <f>'Table 3.32-Accounting Post Due'!B10</f>
        <v>17282.98281188398</v>
      </c>
      <c r="G14" s="292" t="s">
        <v>238</v>
      </c>
    </row>
    <row r="15" spans="1:8" ht="12.75">
      <c r="A15" s="25" t="s">
        <v>100</v>
      </c>
      <c r="B15" s="6">
        <v>6494.0090040452205</v>
      </c>
      <c r="C15" s="292" t="s">
        <v>236</v>
      </c>
      <c r="D15" s="6">
        <f>F15-B15</f>
        <v>6989.719531962929</v>
      </c>
      <c r="E15" s="6"/>
      <c r="F15" s="6">
        <f>'Table 3.33-Delivery Post Due'!B14</f>
        <v>13483.72853600815</v>
      </c>
      <c r="G15" s="292" t="s">
        <v>239</v>
      </c>
      <c r="H15" s="234"/>
    </row>
    <row r="16" spans="1:8" ht="12.75">
      <c r="A16" s="20" t="s">
        <v>210</v>
      </c>
      <c r="B16" s="6">
        <v>746.0384946871881</v>
      </c>
      <c r="C16" s="292" t="s">
        <v>236</v>
      </c>
      <c r="D16" s="324">
        <f>F16-B16</f>
        <v>1105.548471166263</v>
      </c>
      <c r="E16" s="324"/>
      <c r="F16" s="324">
        <f>SUM('Table 3.34-Window Post Due'!B10:B11)</f>
        <v>1851.586965853451</v>
      </c>
      <c r="G16" s="299" t="s">
        <v>240</v>
      </c>
      <c r="H16" s="496"/>
    </row>
    <row r="17" spans="1:4" ht="12.75">
      <c r="A17" s="141"/>
      <c r="B17" s="298"/>
      <c r="C17" s="290"/>
      <c r="D17" s="297"/>
    </row>
    <row r="18" spans="1:4" ht="12.75">
      <c r="A18" s="11" t="s">
        <v>235</v>
      </c>
      <c r="B18" s="77"/>
      <c r="C18" s="62"/>
      <c r="D18" s="63"/>
    </row>
    <row r="19" spans="1:4" ht="12.75">
      <c r="A19" s="25" t="s">
        <v>815</v>
      </c>
      <c r="B19" s="77"/>
      <c r="C19" s="62"/>
      <c r="D19" s="63"/>
    </row>
    <row r="20" spans="1:4" ht="12.75">
      <c r="A20" s="25" t="s">
        <v>701</v>
      </c>
      <c r="B20" s="77"/>
      <c r="C20" s="62"/>
      <c r="D20" s="63"/>
    </row>
    <row r="21" ht="12.75">
      <c r="A21" s="25" t="s">
        <v>702</v>
      </c>
    </row>
    <row r="22" ht="12.75">
      <c r="A22" s="25" t="s">
        <v>703</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J24"/>
  <sheetViews>
    <sheetView zoomScale="70" zoomScaleNormal="70" zoomScalePageLayoutView="0" workbookViewId="0" topLeftCell="A1">
      <selection activeCell="A1" sqref="A1"/>
    </sheetView>
  </sheetViews>
  <sheetFormatPr defaultColWidth="9.140625" defaultRowHeight="12.75"/>
  <cols>
    <col min="1" max="1" width="39.421875" style="18" bestFit="1" customWidth="1"/>
    <col min="2" max="2" width="8.140625" style="18" customWidth="1"/>
    <col min="3" max="3" width="2.7109375" style="18" customWidth="1"/>
    <col min="4" max="4" width="8.7109375" style="18" customWidth="1"/>
    <col min="5" max="5" width="2.7109375" style="18" customWidth="1"/>
    <col min="6" max="6" width="11.7109375" style="18" customWidth="1"/>
    <col min="7" max="7" width="2.7109375" style="18" customWidth="1"/>
    <col min="8" max="8" width="11.7109375" style="18" customWidth="1"/>
    <col min="9" max="9" width="2.7109375" style="18" customWidth="1"/>
    <col min="10" max="10" width="11.7109375" style="18" customWidth="1"/>
    <col min="11" max="16384" width="9.140625" style="18" customWidth="1"/>
  </cols>
  <sheetData>
    <row r="1" ht="15.75">
      <c r="A1" s="157" t="s">
        <v>717</v>
      </c>
    </row>
    <row r="2" ht="15.75">
      <c r="A2" s="158" t="s">
        <v>787</v>
      </c>
    </row>
    <row r="3" ht="4.5" customHeight="1">
      <c r="A3" s="454"/>
    </row>
    <row r="4" spans="1:3" ht="12.75">
      <c r="A4" s="131" t="s">
        <v>190</v>
      </c>
      <c r="B4" s="219">
        <v>418.86018479912485</v>
      </c>
      <c r="C4" s="219"/>
    </row>
    <row r="5" spans="1:10" ht="25.5">
      <c r="A5" s="19" t="s">
        <v>254</v>
      </c>
      <c r="B5" s="220" t="s">
        <v>189</v>
      </c>
      <c r="C5" s="220"/>
      <c r="D5" s="220" t="s">
        <v>164</v>
      </c>
      <c r="E5" s="220"/>
      <c r="F5" s="183" t="s">
        <v>179</v>
      </c>
      <c r="G5" s="220"/>
      <c r="H5" s="220" t="s">
        <v>251</v>
      </c>
      <c r="I5" s="221"/>
      <c r="J5" s="222" t="s">
        <v>183</v>
      </c>
    </row>
    <row r="6" spans="1:10" ht="12.75">
      <c r="A6" s="112" t="s">
        <v>180</v>
      </c>
      <c r="B6" s="223">
        <v>30</v>
      </c>
      <c r="C6" s="299" t="s">
        <v>238</v>
      </c>
      <c r="D6" s="115">
        <v>40.122193661376826</v>
      </c>
      <c r="E6" s="299" t="s">
        <v>238</v>
      </c>
      <c r="F6" s="224">
        <f>($B$4/B6*D6)/$B$4</f>
        <v>1.3374064553792278</v>
      </c>
      <c r="G6" s="115"/>
      <c r="H6" s="225">
        <v>1.359485895130023</v>
      </c>
      <c r="I6" s="221"/>
      <c r="J6" s="224">
        <f>H6*F6</f>
        <v>1.8181852121439006</v>
      </c>
    </row>
    <row r="7" spans="1:10" ht="12.75">
      <c r="A7" s="112" t="s">
        <v>181</v>
      </c>
      <c r="B7" s="223">
        <v>114.19779465085449</v>
      </c>
      <c r="C7" s="299" t="s">
        <v>238</v>
      </c>
      <c r="D7" s="115">
        <v>40.4366</v>
      </c>
      <c r="E7" s="299" t="s">
        <v>238</v>
      </c>
      <c r="F7" s="224">
        <f>($B$4/B7*D7)/$B$4</f>
        <v>0.3540926523461321</v>
      </c>
      <c r="G7" s="115"/>
      <c r="H7" s="226">
        <v>2.276580885233755</v>
      </c>
      <c r="I7" s="221"/>
      <c r="J7" s="224">
        <f>H7*F7</f>
        <v>0.8061205639329255</v>
      </c>
    </row>
    <row r="8" spans="1:10" ht="12.75">
      <c r="A8" s="112"/>
      <c r="B8" s="221"/>
      <c r="C8" s="221"/>
      <c r="D8" s="221"/>
      <c r="E8" s="221"/>
      <c r="F8" s="224"/>
      <c r="G8" s="147"/>
      <c r="H8" s="221"/>
      <c r="I8" s="221"/>
      <c r="J8" s="224"/>
    </row>
    <row r="9" spans="1:10" ht="12.75">
      <c r="A9" s="91" t="s">
        <v>255</v>
      </c>
      <c r="B9" s="221"/>
      <c r="C9" s="221"/>
      <c r="D9" s="115" t="s">
        <v>106</v>
      </c>
      <c r="E9" s="115"/>
      <c r="F9" s="224">
        <v>0.03954566149801845</v>
      </c>
      <c r="G9" s="300" t="s">
        <v>239</v>
      </c>
      <c r="H9" s="207">
        <v>1.5595101237373266</v>
      </c>
      <c r="I9" s="221"/>
      <c r="J9" s="224">
        <f>H9*F9</f>
        <v>0.06167185945604918</v>
      </c>
    </row>
    <row r="10" spans="1:10" ht="12.75">
      <c r="A10" s="110"/>
      <c r="B10" s="221"/>
      <c r="C10" s="221"/>
      <c r="D10" s="221"/>
      <c r="E10" s="221"/>
      <c r="F10" s="224"/>
      <c r="G10" s="147"/>
      <c r="H10" s="221"/>
      <c r="I10" s="221"/>
      <c r="J10" s="224"/>
    </row>
    <row r="11" spans="1:10" ht="12.75">
      <c r="A11" s="19" t="s">
        <v>253</v>
      </c>
      <c r="B11" s="221"/>
      <c r="C11" s="221"/>
      <c r="D11" s="115"/>
      <c r="E11" s="115"/>
      <c r="F11" s="224"/>
      <c r="G11" s="147"/>
      <c r="H11" s="221"/>
      <c r="I11" s="221"/>
      <c r="J11" s="224"/>
    </row>
    <row r="12" spans="1:10" ht="12.75">
      <c r="A12" s="112" t="s">
        <v>181</v>
      </c>
      <c r="B12" s="221"/>
      <c r="C12" s="221"/>
      <c r="D12" s="221"/>
      <c r="E12" s="221"/>
      <c r="F12" s="224"/>
      <c r="G12" s="115"/>
      <c r="H12" s="221"/>
      <c r="I12" s="221"/>
      <c r="J12" s="224"/>
    </row>
    <row r="13" spans="1:10" ht="12.75">
      <c r="A13" s="114" t="s">
        <v>153</v>
      </c>
      <c r="B13" s="223">
        <v>114.19779465085449</v>
      </c>
      <c r="C13" s="299" t="s">
        <v>238</v>
      </c>
      <c r="D13" s="115">
        <v>40.4366</v>
      </c>
      <c r="E13" s="299" t="s">
        <v>238</v>
      </c>
      <c r="F13" s="224">
        <f>($B$4/B13*D13)/$B$4</f>
        <v>0.3540926523461321</v>
      </c>
      <c r="G13" s="115"/>
      <c r="H13" s="226">
        <v>2.276580885233755</v>
      </c>
      <c r="I13" s="221"/>
      <c r="J13" s="224" t="s">
        <v>247</v>
      </c>
    </row>
    <row r="14" spans="1:10" ht="12.75">
      <c r="A14" s="114" t="s">
        <v>152</v>
      </c>
      <c r="B14" s="223">
        <v>167.55812153748252</v>
      </c>
      <c r="C14" s="299" t="s">
        <v>238</v>
      </c>
      <c r="D14" s="115">
        <v>40.4366</v>
      </c>
      <c r="E14" s="299" t="s">
        <v>238</v>
      </c>
      <c r="F14" s="224">
        <f>($B$4/B14*D14)/$B$4</f>
        <v>0.24132879760742834</v>
      </c>
      <c r="G14" s="115"/>
      <c r="H14" s="226">
        <v>2.276580885233755</v>
      </c>
      <c r="I14" s="221"/>
      <c r="J14" s="224">
        <f>H14*F14</f>
        <v>0.5494045276895169</v>
      </c>
    </row>
    <row r="15" spans="1:10" ht="12.75">
      <c r="A15" s="112" t="s">
        <v>182</v>
      </c>
      <c r="B15" s="223">
        <v>504.8357573070678</v>
      </c>
      <c r="C15" s="299" t="s">
        <v>238</v>
      </c>
      <c r="D15" s="115">
        <v>40.4366</v>
      </c>
      <c r="E15" s="299" t="s">
        <v>238</v>
      </c>
      <c r="F15" s="224">
        <v>0.0800985259358408</v>
      </c>
      <c r="G15" s="115"/>
      <c r="H15" s="226">
        <v>2.276580885233755</v>
      </c>
      <c r="I15" s="221"/>
      <c r="J15" s="224">
        <f>H15*F15</f>
        <v>0.1823507730809353</v>
      </c>
    </row>
    <row r="16" spans="2:10" ht="12.75">
      <c r="B16" s="147"/>
      <c r="C16" s="147"/>
      <c r="D16" s="115"/>
      <c r="E16" s="115"/>
      <c r="F16" s="224"/>
      <c r="G16" s="221"/>
      <c r="H16" s="221"/>
      <c r="I16" s="221"/>
      <c r="J16" s="224"/>
    </row>
    <row r="17" spans="1:10" ht="12.75">
      <c r="A17" s="91" t="s">
        <v>102</v>
      </c>
      <c r="B17" s="221"/>
      <c r="C17" s="221"/>
      <c r="D17" s="221"/>
      <c r="E17" s="221"/>
      <c r="F17" s="224">
        <f>SUM(F6:F15)</f>
        <v>2.4065647451127794</v>
      </c>
      <c r="G17" s="115"/>
      <c r="H17" s="221"/>
      <c r="I17" s="221"/>
      <c r="J17" s="224">
        <f>SUM(J6:J15)</f>
        <v>3.4177329363033273</v>
      </c>
    </row>
    <row r="18" spans="2:10" ht="12.75" hidden="1">
      <c r="B18" s="221"/>
      <c r="C18" s="221"/>
      <c r="D18" s="221"/>
      <c r="E18" s="221"/>
      <c r="F18" s="221"/>
      <c r="G18" s="221"/>
      <c r="H18" s="221"/>
      <c r="I18" s="221"/>
      <c r="J18" s="221"/>
    </row>
    <row r="19" spans="2:7" ht="12.75" hidden="1">
      <c r="B19" s="122"/>
      <c r="C19" s="122"/>
      <c r="D19" s="123" t="s">
        <v>188</v>
      </c>
      <c r="E19" s="123"/>
      <c r="F19" s="124">
        <v>0</v>
      </c>
      <c r="G19" s="113"/>
    </row>
    <row r="20" spans="1:5" ht="12.75">
      <c r="A20" s="283"/>
      <c r="B20" s="283"/>
      <c r="C20" s="283"/>
      <c r="D20" s="283"/>
      <c r="E20" s="283"/>
    </row>
    <row r="21" ht="12.75">
      <c r="A21" s="18" t="s">
        <v>235</v>
      </c>
    </row>
    <row r="22" ht="12.75">
      <c r="A22" s="25" t="s">
        <v>788</v>
      </c>
    </row>
    <row r="23" ht="12.75">
      <c r="A23" s="25" t="s">
        <v>816</v>
      </c>
    </row>
    <row r="24" ht="12.75">
      <c r="A24" s="25" t="s">
        <v>704</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J38"/>
  <sheetViews>
    <sheetView zoomScale="70" zoomScaleNormal="70" zoomScalePageLayoutView="0" workbookViewId="0" topLeftCell="A1">
      <selection activeCell="A1" sqref="A1"/>
    </sheetView>
  </sheetViews>
  <sheetFormatPr defaultColWidth="9.140625" defaultRowHeight="12.75"/>
  <cols>
    <col min="1" max="1" width="45.28125" style="0" bestFit="1" customWidth="1"/>
    <col min="2" max="2" width="15.8515625" style="0" customWidth="1"/>
    <col min="3" max="3" width="3.28125" style="0" customWidth="1"/>
  </cols>
  <sheetData>
    <row r="1" spans="1:2" ht="15.75">
      <c r="A1" s="158" t="s">
        <v>718</v>
      </c>
      <c r="B1" s="17"/>
    </row>
    <row r="2" spans="1:2" ht="15.75">
      <c r="A2" s="158" t="s">
        <v>787</v>
      </c>
      <c r="B2" s="17"/>
    </row>
    <row r="3" ht="4.5" customHeight="1">
      <c r="A3" s="16"/>
    </row>
    <row r="4" spans="1:3" ht="12.75">
      <c r="A4" t="s">
        <v>111</v>
      </c>
      <c r="B4" s="26">
        <v>1.0360078863380962</v>
      </c>
      <c r="C4" s="125" t="s">
        <v>236</v>
      </c>
    </row>
    <row r="5" spans="1:3" ht="12.75">
      <c r="A5" t="s">
        <v>112</v>
      </c>
      <c r="B5" s="26">
        <v>8.337340046259165</v>
      </c>
      <c r="C5" s="125" t="s">
        <v>238</v>
      </c>
    </row>
    <row r="6" ht="12.75">
      <c r="B6" s="14"/>
    </row>
    <row r="7" spans="1:10" ht="12.75">
      <c r="A7" s="13" t="s">
        <v>666</v>
      </c>
      <c r="B7" s="119">
        <f>'Table 3.40-Form Processing'!J4</f>
        <v>0.06768309792299927</v>
      </c>
      <c r="C7" s="12" t="s">
        <v>239</v>
      </c>
      <c r="D7" s="27"/>
      <c r="E7" s="27"/>
      <c r="F7" s="27"/>
      <c r="G7" s="27"/>
      <c r="H7" s="27"/>
      <c r="I7" s="27"/>
      <c r="J7" s="27"/>
    </row>
    <row r="8" spans="1:3" ht="12.75">
      <c r="A8" s="12" t="s">
        <v>667</v>
      </c>
      <c r="B8" s="119">
        <f>'Table 3.40-Form Processing'!J6</f>
        <v>0.03454890637912539</v>
      </c>
      <c r="C8" s="12" t="s">
        <v>239</v>
      </c>
    </row>
    <row r="10" spans="1:2" ht="12.75">
      <c r="A10" t="s">
        <v>113</v>
      </c>
      <c r="B10" s="29"/>
    </row>
    <row r="11" spans="1:3" ht="12.75">
      <c r="A11" s="28" t="s">
        <v>260</v>
      </c>
      <c r="B11" s="118">
        <f>'Table 3.38-Form 3547 Dist'!I25</f>
        <v>0.2173117555631718</v>
      </c>
      <c r="C11" s="12" t="s">
        <v>240</v>
      </c>
    </row>
    <row r="12" spans="1:3" ht="12.75">
      <c r="A12" s="164" t="s">
        <v>120</v>
      </c>
      <c r="B12" s="118">
        <f>'Table 3.38-Form 3547 Dist'!I26</f>
        <v>0.6897849580702745</v>
      </c>
      <c r="C12" s="12" t="s">
        <v>240</v>
      </c>
    </row>
    <row r="13" spans="1:3" ht="12.75">
      <c r="A13" s="28" t="s">
        <v>259</v>
      </c>
      <c r="B13" s="118">
        <f>'Table 3.38-Form 3547 Dist'!I27</f>
        <v>0.0929032863665538</v>
      </c>
      <c r="C13" s="12" t="s">
        <v>240</v>
      </c>
    </row>
    <row r="15" spans="1:3" ht="12.75">
      <c r="A15" s="12" t="s">
        <v>739</v>
      </c>
      <c r="B15" s="6">
        <f>'Table 3.38-Form 3547 Dist'!B28*1000</f>
        <v>71063663.54999113</v>
      </c>
      <c r="C15" s="12" t="s">
        <v>241</v>
      </c>
    </row>
    <row r="16" spans="1:3" ht="12.75">
      <c r="A16" s="12" t="s">
        <v>740</v>
      </c>
      <c r="B16" s="10">
        <f>'Table 3.38-Form 3547 Dist'!E28*1000</f>
        <v>5487944.785546363</v>
      </c>
      <c r="C16" s="12" t="s">
        <v>242</v>
      </c>
    </row>
    <row r="17" spans="1:3" ht="12.75">
      <c r="A17" s="13" t="s">
        <v>115</v>
      </c>
      <c r="B17" s="6">
        <f>SUM(B15:B16)</f>
        <v>76551608.3355375</v>
      </c>
      <c r="C17" s="12"/>
    </row>
    <row r="18" spans="2:3" ht="12.75">
      <c r="B18" s="6"/>
      <c r="C18" s="12"/>
    </row>
    <row r="19" spans="1:4" ht="12.75">
      <c r="A19" s="12" t="s">
        <v>741</v>
      </c>
      <c r="B19" s="492">
        <v>7125646.450268667</v>
      </c>
      <c r="C19" s="12" t="s">
        <v>241</v>
      </c>
      <c r="D19" s="12"/>
    </row>
    <row r="20" spans="1:3" ht="12.75">
      <c r="A20" s="12" t="s">
        <v>742</v>
      </c>
      <c r="B20" s="30">
        <v>5544631.473970359</v>
      </c>
      <c r="C20" s="12" t="s">
        <v>242</v>
      </c>
    </row>
    <row r="21" spans="1:3" ht="12.75">
      <c r="A21" s="12" t="s">
        <v>116</v>
      </c>
      <c r="B21" s="492">
        <f>SUM(B19:B20)</f>
        <v>12670277.924239026</v>
      </c>
      <c r="C21" s="12"/>
    </row>
    <row r="22" spans="2:3" ht="12.75">
      <c r="B22" s="492"/>
      <c r="C22" s="12"/>
    </row>
    <row r="23" spans="1:2" ht="12.75">
      <c r="A23" t="s">
        <v>261</v>
      </c>
      <c r="B23" s="31">
        <f>SUM(B17,B21)</f>
        <v>89221886.25977652</v>
      </c>
    </row>
    <row r="24" ht="12.75">
      <c r="B24" s="32"/>
    </row>
    <row r="25" spans="1:3" ht="12.75">
      <c r="A25" s="12" t="s">
        <v>51</v>
      </c>
      <c r="B25" s="32">
        <f>'Table 3.1-UAA Summary'!L51*1000</f>
        <v>343582240.5620378</v>
      </c>
      <c r="C25" s="12"/>
    </row>
    <row r="26" spans="1:3" ht="12.75">
      <c r="A26" s="12" t="s">
        <v>52</v>
      </c>
      <c r="B26" s="32">
        <f>'Table 3.1-UAA Summary'!L50*1000</f>
        <v>275434509.0571209</v>
      </c>
      <c r="C26" s="12"/>
    </row>
    <row r="27" ht="12.75">
      <c r="B27" s="27"/>
    </row>
    <row r="28" spans="1:3" ht="12.75">
      <c r="A28" s="12" t="s">
        <v>350</v>
      </c>
      <c r="B28" s="33">
        <v>40.4366</v>
      </c>
      <c r="C28" s="12" t="s">
        <v>243</v>
      </c>
    </row>
    <row r="29" spans="1:2" ht="12.75">
      <c r="A29" s="283"/>
      <c r="B29" s="283"/>
    </row>
    <row r="30" ht="12.75">
      <c r="A30" s="151" t="s">
        <v>235</v>
      </c>
    </row>
    <row r="31" ht="12.75">
      <c r="A31" s="125" t="s">
        <v>818</v>
      </c>
    </row>
    <row r="32" ht="12.75">
      <c r="A32" s="125" t="s">
        <v>13</v>
      </c>
    </row>
    <row r="33" ht="12.75">
      <c r="A33" s="12" t="s">
        <v>698</v>
      </c>
    </row>
    <row r="34" ht="12.75">
      <c r="A34" s="12" t="s">
        <v>705</v>
      </c>
    </row>
    <row r="35" ht="12.75">
      <c r="A35" s="25" t="s">
        <v>819</v>
      </c>
    </row>
    <row r="36" ht="12.75">
      <c r="A36" s="25" t="s">
        <v>820</v>
      </c>
    </row>
    <row r="37" ht="12.75">
      <c r="A37" s="25" t="s">
        <v>817</v>
      </c>
    </row>
    <row r="38" ht="12.75">
      <c r="A38" s="12" t="s">
        <v>53</v>
      </c>
    </row>
  </sheetData>
  <sheetProtection/>
  <printOptions horizontalCentered="1"/>
  <pageMargins left="0.75" right="0.75" top="1" bottom="1" header="0.5" footer="0.5"/>
  <pageSetup fitToHeight="1" fitToWidth="1" horizontalDpi="600" verticalDpi="600" orientation="landscape" scale="99" r:id="rId3"/>
  <headerFooter alignWithMargins="0">
    <oddFooter>&amp;L&amp;F</oddFooter>
  </headerFooter>
  <legacyDrawing r:id="rId2"/>
</worksheet>
</file>

<file path=xl/worksheets/sheet39.xml><?xml version="1.0" encoding="utf-8"?>
<worksheet xmlns="http://schemas.openxmlformats.org/spreadsheetml/2006/main" xmlns:r="http://schemas.openxmlformats.org/officeDocument/2006/relationships">
  <sheetPr>
    <pageSetUpPr fitToPage="1"/>
  </sheetPr>
  <dimension ref="A1:I34"/>
  <sheetViews>
    <sheetView zoomScale="70" zoomScaleNormal="70" zoomScalePageLayoutView="0" workbookViewId="0" topLeftCell="A1">
      <selection activeCell="A1" sqref="A1"/>
    </sheetView>
  </sheetViews>
  <sheetFormatPr defaultColWidth="9.140625" defaultRowHeight="12.75"/>
  <cols>
    <col min="1" max="1" width="19.7109375" style="18" bestFit="1" customWidth="1"/>
    <col min="2" max="2" width="15.7109375" style="18" customWidth="1"/>
    <col min="3" max="3" width="13.140625" style="18" customWidth="1"/>
    <col min="4" max="4" width="3.7109375" style="18" customWidth="1"/>
    <col min="5" max="5" width="15.7109375" style="18" customWidth="1"/>
    <col min="6" max="6" width="14.8515625" style="18" customWidth="1"/>
    <col min="7" max="7" width="3.7109375" style="18" customWidth="1"/>
    <col min="8" max="8" width="15.7109375" style="18" customWidth="1"/>
    <col min="9" max="9" width="14.8515625" style="18" customWidth="1"/>
    <col min="10" max="16384" width="9.140625" style="18" customWidth="1"/>
  </cols>
  <sheetData>
    <row r="1" ht="15.75" customHeight="1">
      <c r="A1" s="157" t="s">
        <v>723</v>
      </c>
    </row>
    <row r="2" ht="15.75" customHeight="1">
      <c r="A2" s="158" t="s">
        <v>787</v>
      </c>
    </row>
    <row r="3" ht="12.75" customHeight="1"/>
    <row r="4" spans="2:6" ht="12.75" customHeight="1">
      <c r="B4" s="564" t="s">
        <v>724</v>
      </c>
      <c r="C4" s="564"/>
      <c r="D4" s="564"/>
      <c r="E4" s="564" t="s">
        <v>724</v>
      </c>
      <c r="F4" s="564"/>
    </row>
    <row r="5" spans="2:9" ht="12.75" customHeight="1">
      <c r="B5" s="565" t="s">
        <v>725</v>
      </c>
      <c r="C5" s="564"/>
      <c r="D5" s="564"/>
      <c r="E5" s="565" t="s">
        <v>726</v>
      </c>
      <c r="F5" s="564"/>
      <c r="H5" s="566" t="s">
        <v>727</v>
      </c>
      <c r="I5" s="564"/>
    </row>
    <row r="6" spans="1:9" ht="12.75" customHeight="1">
      <c r="A6" s="102" t="s">
        <v>728</v>
      </c>
      <c r="B6" s="567" t="s">
        <v>729</v>
      </c>
      <c r="C6" s="227" t="s">
        <v>172</v>
      </c>
      <c r="D6" s="227"/>
      <c r="E6" s="567" t="s">
        <v>730</v>
      </c>
      <c r="F6" s="227" t="s">
        <v>172</v>
      </c>
      <c r="H6" s="568" t="s">
        <v>103</v>
      </c>
      <c r="I6" s="227" t="s">
        <v>172</v>
      </c>
    </row>
    <row r="7" spans="1:9" ht="12.75" customHeight="1">
      <c r="A7" s="28" t="s">
        <v>260</v>
      </c>
      <c r="B7" s="37">
        <v>15059.279092458068</v>
      </c>
      <c r="C7" s="569">
        <f>B7/B$10</f>
        <v>0.2484318857467222</v>
      </c>
      <c r="D7" s="569"/>
      <c r="E7" s="37">
        <v>0</v>
      </c>
      <c r="F7" s="569">
        <f>E7/E$10</f>
        <v>0</v>
      </c>
      <c r="H7" s="324">
        <f>B7+E7</f>
        <v>15059.279092458068</v>
      </c>
      <c r="I7" s="569">
        <f>H7/H$10</f>
        <v>0.23062193372100817</v>
      </c>
    </row>
    <row r="8" spans="1:9" ht="12.75" customHeight="1">
      <c r="A8" s="164" t="s">
        <v>120</v>
      </c>
      <c r="B8" s="37">
        <v>42240.756718674194</v>
      </c>
      <c r="C8" s="569">
        <f>B8/B$10</f>
        <v>0.6968428423804363</v>
      </c>
      <c r="D8" s="569"/>
      <c r="E8" s="37">
        <v>4340.357311600747</v>
      </c>
      <c r="F8" s="569">
        <f>E8/E$10</f>
        <v>0.9271852133758841</v>
      </c>
      <c r="H8" s="324">
        <f>B8+E8</f>
        <v>46581.11403027494</v>
      </c>
      <c r="I8" s="569">
        <f>H8/H$10</f>
        <v>0.7133559665496122</v>
      </c>
    </row>
    <row r="9" spans="1:9" ht="12.75" customHeight="1">
      <c r="A9" s="28" t="s">
        <v>259</v>
      </c>
      <c r="B9" s="37">
        <v>3317.3001930354662</v>
      </c>
      <c r="C9" s="569">
        <f>B9/B$10</f>
        <v>0.05472527187284156</v>
      </c>
      <c r="D9" s="569"/>
      <c r="E9" s="37">
        <v>340.86198416163154</v>
      </c>
      <c r="F9" s="569">
        <f>E9/E$10</f>
        <v>0.07281478662411586</v>
      </c>
      <c r="H9" s="324">
        <f>B9+E9</f>
        <v>3658.1621771970977</v>
      </c>
      <c r="I9" s="569">
        <f>H9/H$10</f>
        <v>0.05602209972937967</v>
      </c>
    </row>
    <row r="10" spans="1:9" ht="12.75" customHeight="1">
      <c r="A10" s="5" t="s">
        <v>102</v>
      </c>
      <c r="B10" s="37">
        <f>SUM(B7:B9)</f>
        <v>60617.33600416773</v>
      </c>
      <c r="C10" s="570">
        <f>SUM(C7:C9)</f>
        <v>1</v>
      </c>
      <c r="D10" s="570"/>
      <c r="E10" s="37">
        <f>SUM(E7:E9)</f>
        <v>4681.219295762379</v>
      </c>
      <c r="F10" s="570">
        <f>SUM(F7:F9)</f>
        <v>1</v>
      </c>
      <c r="H10" s="324">
        <f>SUM(H7:H9)</f>
        <v>65298.55529993011</v>
      </c>
      <c r="I10" s="570">
        <f>SUM(I7:I9)</f>
        <v>1</v>
      </c>
    </row>
    <row r="11" ht="12.75" customHeight="1"/>
    <row r="12" ht="12.75" customHeight="1"/>
    <row r="13" spans="2:6" ht="12.75" customHeight="1">
      <c r="B13" s="564" t="s">
        <v>731</v>
      </c>
      <c r="C13" s="564"/>
      <c r="E13" s="564" t="s">
        <v>731</v>
      </c>
      <c r="F13" s="564"/>
    </row>
    <row r="14" spans="2:9" ht="12.75" customHeight="1">
      <c r="B14" s="565" t="s">
        <v>732</v>
      </c>
      <c r="C14" s="564"/>
      <c r="E14" s="565" t="s">
        <v>733</v>
      </c>
      <c r="F14" s="564"/>
      <c r="H14" s="565" t="s">
        <v>734</v>
      </c>
      <c r="I14" s="564"/>
    </row>
    <row r="15" spans="1:9" ht="12.75" customHeight="1">
      <c r="A15" s="102" t="s">
        <v>728</v>
      </c>
      <c r="B15" s="567" t="s">
        <v>729</v>
      </c>
      <c r="C15" s="227" t="s">
        <v>172</v>
      </c>
      <c r="E15" s="567" t="s">
        <v>730</v>
      </c>
      <c r="F15" s="227" t="s">
        <v>172</v>
      </c>
      <c r="H15" s="568" t="s">
        <v>103</v>
      </c>
      <c r="I15" s="227" t="s">
        <v>172</v>
      </c>
    </row>
    <row r="16" spans="1:9" ht="12.75" customHeight="1">
      <c r="A16" s="28" t="s">
        <v>260</v>
      </c>
      <c r="B16" s="37">
        <v>1576.2853061219178</v>
      </c>
      <c r="C16" s="569">
        <f>B16/B$19</f>
        <v>0.15089372788737998</v>
      </c>
      <c r="E16" s="37">
        <v>0</v>
      </c>
      <c r="F16" s="569">
        <f>E16/E$19</f>
        <v>0</v>
      </c>
      <c r="H16" s="324">
        <f>B16+E16</f>
        <v>1576.2853061219178</v>
      </c>
      <c r="I16" s="569">
        <f>H16/H$19</f>
        <v>0.1400762354122183</v>
      </c>
    </row>
    <row r="17" spans="1:9" ht="12.75" customHeight="1">
      <c r="A17" s="164" t="s">
        <v>120</v>
      </c>
      <c r="B17" s="37">
        <v>5704.236707352082</v>
      </c>
      <c r="C17" s="569">
        <f>B17/B$19</f>
        <v>0.5460518715625304</v>
      </c>
      <c r="E17" s="37">
        <v>518.7972083137746</v>
      </c>
      <c r="F17" s="569">
        <f>E17/E$19</f>
        <v>0.6430901401822474</v>
      </c>
      <c r="H17" s="324">
        <f>B17+E17</f>
        <v>6223.0339156658565</v>
      </c>
      <c r="I17" s="569">
        <f>H17/H$19</f>
        <v>0.5530084943148025</v>
      </c>
    </row>
    <row r="18" spans="1:9" ht="12.75" customHeight="1">
      <c r="A18" s="28" t="s">
        <v>259</v>
      </c>
      <c r="B18" s="37">
        <v>3165.8055323493986</v>
      </c>
      <c r="C18" s="569">
        <f>B18/B$19</f>
        <v>0.3030544005500896</v>
      </c>
      <c r="E18" s="37">
        <v>287.92828147020947</v>
      </c>
      <c r="F18" s="569">
        <f>E18/E$19</f>
        <v>0.3569098598177525</v>
      </c>
      <c r="H18" s="324">
        <f>B18+E18</f>
        <v>3453.7338138196083</v>
      </c>
      <c r="I18" s="569">
        <f>H18/H$19</f>
        <v>0.30691527027297916</v>
      </c>
    </row>
    <row r="19" spans="1:9" ht="12.75" customHeight="1">
      <c r="A19" s="5" t="s">
        <v>102</v>
      </c>
      <c r="B19" s="37">
        <f>SUM(B16:B18)</f>
        <v>10446.327545823398</v>
      </c>
      <c r="C19" s="570">
        <f>SUM(C16:C18)</f>
        <v>1</v>
      </c>
      <c r="E19" s="37">
        <f>SUM(E16:E18)</f>
        <v>806.7254897839841</v>
      </c>
      <c r="F19" s="570">
        <f>SUM(F16:F18)</f>
        <v>0.9999999999999999</v>
      </c>
      <c r="H19" s="324">
        <f>SUM(H16:H18)</f>
        <v>11253.053035607383</v>
      </c>
      <c r="I19" s="570">
        <f>SUM(I16:I18)</f>
        <v>1</v>
      </c>
    </row>
    <row r="20" spans="1:9" ht="12.75" customHeight="1">
      <c r="A20" s="5"/>
      <c r="B20" s="37"/>
      <c r="C20" s="570"/>
      <c r="E20" s="37"/>
      <c r="F20" s="570"/>
      <c r="H20" s="324"/>
      <c r="I20" s="570"/>
    </row>
    <row r="21" spans="1:9" ht="12.75" customHeight="1">
      <c r="A21" s="5"/>
      <c r="B21" s="37"/>
      <c r="C21" s="570"/>
      <c r="E21" s="37"/>
      <c r="F21" s="570"/>
      <c r="H21" s="324"/>
      <c r="I21" s="570"/>
    </row>
    <row r="22" spans="2:6" ht="12.75" customHeight="1">
      <c r="B22" s="564" t="s">
        <v>735</v>
      </c>
      <c r="C22" s="564"/>
      <c r="E22" s="564" t="s">
        <v>735</v>
      </c>
      <c r="F22" s="564"/>
    </row>
    <row r="23" spans="2:9" ht="12.75" customHeight="1">
      <c r="B23" s="565" t="s">
        <v>732</v>
      </c>
      <c r="C23" s="564"/>
      <c r="E23" s="565" t="s">
        <v>733</v>
      </c>
      <c r="F23" s="564"/>
      <c r="H23" s="565" t="s">
        <v>736</v>
      </c>
      <c r="I23" s="564"/>
    </row>
    <row r="24" spans="1:9" ht="12.75" customHeight="1">
      <c r="A24" s="102" t="s">
        <v>728</v>
      </c>
      <c r="B24" s="567" t="s">
        <v>729</v>
      </c>
      <c r="C24" s="227" t="s">
        <v>172</v>
      </c>
      <c r="E24" s="567" t="s">
        <v>730</v>
      </c>
      <c r="F24" s="227" t="s">
        <v>172</v>
      </c>
      <c r="H24" s="568" t="s">
        <v>103</v>
      </c>
      <c r="I24" s="227" t="s">
        <v>172</v>
      </c>
    </row>
    <row r="25" spans="1:9" ht="12.75" customHeight="1">
      <c r="A25" s="28" t="s">
        <v>260</v>
      </c>
      <c r="B25" s="37">
        <f>SUM(B7,B16)</f>
        <v>16635.564398579987</v>
      </c>
      <c r="C25" s="569">
        <f>B25/B$28</f>
        <v>0.23409381908487412</v>
      </c>
      <c r="E25" s="37">
        <f>SUM(E7,E16)</f>
        <v>0</v>
      </c>
      <c r="F25" s="569">
        <f>E25/E$28</f>
        <v>0</v>
      </c>
      <c r="H25" s="324">
        <f>B25+E25</f>
        <v>16635.564398579987</v>
      </c>
      <c r="I25" s="569">
        <f>H25/H$28</f>
        <v>0.2173117555631718</v>
      </c>
    </row>
    <row r="26" spans="1:9" ht="12.75" customHeight="1">
      <c r="A26" s="164" t="s">
        <v>120</v>
      </c>
      <c r="B26" s="37">
        <f>SUM(B8,B17)</f>
        <v>47944.993426026274</v>
      </c>
      <c r="C26" s="569">
        <f>B26/B$28</f>
        <v>0.6746766354410989</v>
      </c>
      <c r="E26" s="37">
        <f>SUM(E8,E17)</f>
        <v>4859.154519914522</v>
      </c>
      <c r="F26" s="569">
        <f>E26/E$28</f>
        <v>0.8854233615309158</v>
      </c>
      <c r="H26" s="324">
        <f>B26+E26</f>
        <v>52804.1479459408</v>
      </c>
      <c r="I26" s="569">
        <f>H26/H$28</f>
        <v>0.6897849580702745</v>
      </c>
    </row>
    <row r="27" spans="1:9" ht="12.75" customHeight="1">
      <c r="A27" s="28" t="s">
        <v>259</v>
      </c>
      <c r="B27" s="37">
        <f>SUM(B9,B18)</f>
        <v>6483.105725384865</v>
      </c>
      <c r="C27" s="569">
        <f>B27/B$28</f>
        <v>0.09122954547402691</v>
      </c>
      <c r="E27" s="37">
        <f>SUM(E9,E18)</f>
        <v>628.7902656318411</v>
      </c>
      <c r="F27" s="569">
        <f>E27/E$28</f>
        <v>0.11457663846908413</v>
      </c>
      <c r="H27" s="324">
        <f>B27+E27</f>
        <v>7111.895991016706</v>
      </c>
      <c r="I27" s="569">
        <f>H27/H$28</f>
        <v>0.0929032863665538</v>
      </c>
    </row>
    <row r="28" spans="1:9" ht="12.75" customHeight="1">
      <c r="A28" s="5" t="s">
        <v>102</v>
      </c>
      <c r="B28" s="37">
        <f>SUM(B25:B27)</f>
        <v>71063.66354999114</v>
      </c>
      <c r="C28" s="570">
        <f>SUM(C25:C27)</f>
        <v>1</v>
      </c>
      <c r="E28" s="37">
        <f>SUM(E25:E27)</f>
        <v>5487.944785546363</v>
      </c>
      <c r="F28" s="570">
        <f>SUM(F25:F27)</f>
        <v>1</v>
      </c>
      <c r="H28" s="324">
        <f>SUM(H25:H27)</f>
        <v>76551.60833553749</v>
      </c>
      <c r="I28" s="570">
        <f>SUM(I25:I27)</f>
        <v>1.0000000000000002</v>
      </c>
    </row>
    <row r="29" spans="1:2" ht="12.75" customHeight="1">
      <c r="A29" s="141"/>
      <c r="B29" s="282"/>
    </row>
    <row r="30" spans="1:2" ht="12.75" customHeight="1">
      <c r="A30" s="4" t="s">
        <v>235</v>
      </c>
      <c r="B30" s="37"/>
    </row>
    <row r="31" spans="1:2" ht="12.75" customHeight="1">
      <c r="A31" s="25" t="s">
        <v>802</v>
      </c>
      <c r="B31" s="37"/>
    </row>
    <row r="32" ht="12.75" customHeight="1">
      <c r="A32" s="25" t="s">
        <v>821</v>
      </c>
    </row>
    <row r="33" ht="12.75" customHeight="1">
      <c r="A33" s="327" t="s">
        <v>737</v>
      </c>
    </row>
    <row r="34" ht="12.75" customHeight="1">
      <c r="A34" s="481" t="s">
        <v>738</v>
      </c>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75">
      <c r="A1" s="157" t="s">
        <v>523</v>
      </c>
      <c r="B1" s="19"/>
      <c r="C1" s="19"/>
      <c r="D1" s="19"/>
      <c r="E1" s="19"/>
      <c r="F1" s="19"/>
      <c r="G1" s="19"/>
      <c r="H1" s="19"/>
      <c r="I1" s="19"/>
      <c r="J1" s="19"/>
    </row>
    <row r="2" spans="1:10" s="13" customFormat="1" ht="15.75">
      <c r="A2" s="158" t="s">
        <v>787</v>
      </c>
      <c r="B2" s="19"/>
      <c r="C2" s="19"/>
      <c r="D2" s="19"/>
      <c r="E2" s="19"/>
      <c r="F2" s="19"/>
      <c r="G2" s="19"/>
      <c r="H2" s="19"/>
      <c r="I2" s="19"/>
      <c r="J2" s="19"/>
    </row>
    <row r="3" spans="2:10" ht="38.25">
      <c r="B3" s="168" t="s">
        <v>109</v>
      </c>
      <c r="C3" s="168"/>
      <c r="D3" s="169" t="s">
        <v>104</v>
      </c>
      <c r="E3" s="169"/>
      <c r="F3" s="168" t="s">
        <v>110</v>
      </c>
      <c r="G3" s="168"/>
      <c r="H3" s="170" t="s">
        <v>97</v>
      </c>
      <c r="I3" s="170"/>
      <c r="J3" s="171" t="s">
        <v>105</v>
      </c>
    </row>
    <row r="4" ht="12.75">
      <c r="A4" s="333" t="s">
        <v>577</v>
      </c>
    </row>
    <row r="5" spans="1:17" ht="12.75">
      <c r="A5" s="353" t="s">
        <v>481</v>
      </c>
      <c r="B5" s="32">
        <f>SUM('Table 3.24-CIOSS Detail'!E4,'Table 3.24-CIOSS Detail'!E8)</f>
        <v>572690.9759999999</v>
      </c>
      <c r="C5" s="241" t="s">
        <v>240</v>
      </c>
      <c r="D5" s="488">
        <f>F5/B5</f>
        <v>0.04745476486120109</v>
      </c>
      <c r="E5" s="27"/>
      <c r="F5" s="489">
        <f>SUM('Table 3.24-CIOSS Detail'!K4,'Table 3.24-CIOSS Detail'!K8)</f>
        <v>27176.915604211754</v>
      </c>
      <c r="G5" s="241" t="s">
        <v>240</v>
      </c>
      <c r="H5" s="358">
        <f>B5/$B$29</f>
        <v>0.6499999999999999</v>
      </c>
      <c r="J5" s="551">
        <f>D5*H5</f>
        <v>0.030845597159780705</v>
      </c>
      <c r="M5" s="27"/>
      <c r="N5" s="27"/>
      <c r="O5" s="27"/>
      <c r="P5" s="27"/>
      <c r="Q5" s="27"/>
    </row>
    <row r="6" spans="1:10" ht="12.75">
      <c r="A6" s="353" t="s">
        <v>95</v>
      </c>
      <c r="B6" s="32">
        <f>SUM('Table 3.28-REC Volume'!G4,'Table 3.28-REC Volume'!G8)</f>
        <v>218732.79881850604</v>
      </c>
      <c r="C6" s="12" t="s">
        <v>241</v>
      </c>
      <c r="D6" s="488">
        <f>F6/B6</f>
        <v>0</v>
      </c>
      <c r="E6" s="27"/>
      <c r="F6" s="489">
        <v>0</v>
      </c>
      <c r="H6" s="358">
        <f>B6/$B$29</f>
        <v>0.24826010045604233</v>
      </c>
      <c r="J6" s="551">
        <f>D6*H6</f>
        <v>0</v>
      </c>
    </row>
    <row r="7" spans="1:10" ht="12.75">
      <c r="A7" s="239" t="s">
        <v>499</v>
      </c>
      <c r="B7" s="32">
        <f>SUM('Table 3.28-REC Volume'!H4)</f>
        <v>281231.71882368217</v>
      </c>
      <c r="C7" s="12" t="s">
        <v>241</v>
      </c>
      <c r="D7" s="488">
        <f>F7/B7</f>
        <v>0.05493826056460016</v>
      </c>
      <c r="E7" s="27"/>
      <c r="F7" s="489">
        <f>'Table 3.26-REC Detail NonACS'!K4</f>
        <v>15450.38144776582</v>
      </c>
      <c r="G7" s="12" t="s">
        <v>242</v>
      </c>
      <c r="H7" s="358">
        <f>B7/$B$29</f>
        <v>0.31919591000399034</v>
      </c>
      <c r="J7" s="551">
        <f>D7*H7</f>
        <v>0.017536068074953885</v>
      </c>
    </row>
    <row r="8" spans="1:10" ht="12.75">
      <c r="A8" s="239" t="s">
        <v>676</v>
      </c>
      <c r="B8" s="32">
        <f>SUM('Table 3.28-REC Volume'!H8)</f>
        <v>46867.479404076854</v>
      </c>
      <c r="C8" s="12" t="s">
        <v>241</v>
      </c>
      <c r="D8" s="488">
        <f>F8/B8</f>
        <v>0.02746913028230008</v>
      </c>
      <c r="E8" s="27"/>
      <c r="F8" s="489">
        <f>'Table 3.26-REC Detail NonACS'!K8</f>
        <v>1287.4088977536028</v>
      </c>
      <c r="G8" s="12" t="s">
        <v>242</v>
      </c>
      <c r="H8" s="358">
        <f>B8/$B$29</f>
        <v>0.05319424068007308</v>
      </c>
      <c r="J8" s="551">
        <f>D8*H8</f>
        <v>0.0014611995275089543</v>
      </c>
    </row>
    <row r="9" spans="1:11" ht="12.75">
      <c r="A9" s="239" t="s">
        <v>489</v>
      </c>
      <c r="B9" s="32">
        <v>25858.97895373488</v>
      </c>
      <c r="C9" s="241" t="s">
        <v>243</v>
      </c>
      <c r="D9" s="488">
        <f>'Table 3.21-CFS CIOSS Rejs'!I9</f>
        <v>0.23654193194975767</v>
      </c>
      <c r="E9" s="241" t="s">
        <v>244</v>
      </c>
      <c r="F9" s="489">
        <f>B9*D9</f>
        <v>6116.732839964572</v>
      </c>
      <c r="H9" s="358">
        <f>B9/$B$29</f>
        <v>0.029349748859894158</v>
      </c>
      <c r="J9" s="551">
        <f>D9*H9</f>
        <v>0.006942446297559562</v>
      </c>
      <c r="K9" s="6"/>
    </row>
    <row r="10" spans="1:10" ht="12.75">
      <c r="A10" s="82" t="s">
        <v>102</v>
      </c>
      <c r="B10" s="32">
        <f>B5</f>
        <v>572690.9759999999</v>
      </c>
      <c r="C10" s="27"/>
      <c r="D10" s="488">
        <f>F10/B10</f>
        <v>0.08736201701508171</v>
      </c>
      <c r="E10" s="27"/>
      <c r="F10" s="489">
        <f>SUM(F5:F9)</f>
        <v>50031.43878969574</v>
      </c>
      <c r="H10" s="142"/>
      <c r="J10" s="22">
        <f>SUM(J5:J9)</f>
        <v>0.05678531105980311</v>
      </c>
    </row>
    <row r="11" spans="1:8" ht="4.5" customHeight="1">
      <c r="A11" s="82"/>
      <c r="B11" s="32"/>
      <c r="C11" s="27"/>
      <c r="D11" s="27"/>
      <c r="E11" s="27"/>
      <c r="F11" s="489"/>
      <c r="H11" s="142"/>
    </row>
    <row r="12" spans="1:6" ht="12.75">
      <c r="A12" s="15" t="s">
        <v>578</v>
      </c>
      <c r="B12" s="27"/>
      <c r="C12" s="27"/>
      <c r="D12" s="27"/>
      <c r="E12" s="27"/>
      <c r="F12" s="489"/>
    </row>
    <row r="13" spans="1:10" ht="12.75">
      <c r="A13" s="353" t="s">
        <v>307</v>
      </c>
      <c r="B13" s="32">
        <f>'Table 3.16-Route UAA PARS'!D106</f>
        <v>308372.0640000001</v>
      </c>
      <c r="C13" s="490" t="s">
        <v>582</v>
      </c>
      <c r="D13" s="488">
        <f aca="true" t="shared" si="0" ref="D13:D18">F13/B13</f>
        <v>0.06830382285918662</v>
      </c>
      <c r="E13" s="490"/>
      <c r="F13" s="489">
        <f>'Table 3.16-Route UAA PARS'!J106</f>
        <v>21062.990834177766</v>
      </c>
      <c r="G13" s="490" t="s">
        <v>582</v>
      </c>
      <c r="H13" s="358">
        <f aca="true" t="shared" si="1" ref="H13:H19">B13/$B$29</f>
        <v>0.3500000000000001</v>
      </c>
      <c r="J13" s="551">
        <f aca="true" t="shared" si="2" ref="J13:J19">D13*H13</f>
        <v>0.023906338000715326</v>
      </c>
    </row>
    <row r="14" spans="1:10" ht="12.75">
      <c r="A14" s="353" t="s">
        <v>495</v>
      </c>
      <c r="B14" s="32">
        <f>'Table 3.18-Nixie UAA'!D6</f>
        <v>308372.064</v>
      </c>
      <c r="C14" s="490" t="s">
        <v>586</v>
      </c>
      <c r="D14" s="488">
        <f t="shared" si="0"/>
        <v>0.006032795169194396</v>
      </c>
      <c r="E14" s="490"/>
      <c r="F14" s="489">
        <f>'Table 3.18-Nixie UAA'!I6</f>
        <v>1860.3454980137053</v>
      </c>
      <c r="G14" s="490" t="s">
        <v>586</v>
      </c>
      <c r="H14" s="358">
        <f t="shared" si="1"/>
        <v>0.35</v>
      </c>
      <c r="J14" s="551">
        <f t="shared" si="2"/>
        <v>0.0021114783092180383</v>
      </c>
    </row>
    <row r="15" spans="1:10" ht="12.75">
      <c r="A15" s="353" t="s">
        <v>481</v>
      </c>
      <c r="B15" s="32">
        <f>SUM('Table 3.24-CIOSS Detail'!E19,'Table 3.24-CIOSS Detail'!E23)</f>
        <v>308372.064</v>
      </c>
      <c r="C15" s="490" t="s">
        <v>240</v>
      </c>
      <c r="D15" s="488">
        <f t="shared" si="0"/>
        <v>0.03573140103229267</v>
      </c>
      <c r="E15" s="490"/>
      <c r="F15" s="489">
        <f>SUM('Table 3.24-CIOSS Detail'!K19,'Table 3.24-CIOSS Detail'!K23)</f>
        <v>11018.565885939823</v>
      </c>
      <c r="G15" s="490" t="s">
        <v>240</v>
      </c>
      <c r="H15" s="358">
        <f t="shared" si="1"/>
        <v>0.35</v>
      </c>
      <c r="J15" s="551">
        <f t="shared" si="2"/>
        <v>0.012505990361302434</v>
      </c>
    </row>
    <row r="16" spans="1:10" ht="12.75">
      <c r="A16" s="353" t="s">
        <v>95</v>
      </c>
      <c r="B16" s="32">
        <f>SUM('Table 3.28-REC Volume'!G19,'Table 3.28-REC Volume'!G23)</f>
        <v>67723.0396341913</v>
      </c>
      <c r="C16" s="12" t="s">
        <v>241</v>
      </c>
      <c r="D16" s="488">
        <f t="shared" si="0"/>
        <v>0</v>
      </c>
      <c r="E16" s="27"/>
      <c r="F16" s="489">
        <v>0</v>
      </c>
      <c r="H16" s="358">
        <f t="shared" si="1"/>
        <v>0.07686514648735157</v>
      </c>
      <c r="J16" s="551">
        <f t="shared" si="2"/>
        <v>0</v>
      </c>
    </row>
    <row r="17" spans="1:10" ht="12.75">
      <c r="A17" s="239" t="s">
        <v>499</v>
      </c>
      <c r="B17" s="32">
        <f>SUM('Table 3.28-REC Volume'!H19)</f>
        <v>194338.32877687787</v>
      </c>
      <c r="C17" s="12" t="s">
        <v>241</v>
      </c>
      <c r="D17" s="488">
        <f t="shared" si="0"/>
        <v>0.05493826056460016</v>
      </c>
      <c r="E17" s="490"/>
      <c r="F17" s="489">
        <f>'Table 3.26-REC Detail NonACS'!K19</f>
        <v>10676.60974403305</v>
      </c>
      <c r="G17" s="12" t="s">
        <v>242</v>
      </c>
      <c r="H17" s="358">
        <f t="shared" si="1"/>
        <v>0.22057255832327033</v>
      </c>
      <c r="J17" s="551">
        <f t="shared" si="2"/>
        <v>0.012117872682564292</v>
      </c>
    </row>
    <row r="18" spans="1:10" ht="12.75" customHeight="1">
      <c r="A18" s="239" t="s">
        <v>676</v>
      </c>
      <c r="B18" s="32">
        <f>SUM('Table 3.28-REC Volume'!H23)</f>
        <v>32386.629998458233</v>
      </c>
      <c r="C18" s="12" t="s">
        <v>241</v>
      </c>
      <c r="D18" s="488">
        <f t="shared" si="0"/>
        <v>0.027469130282300084</v>
      </c>
      <c r="E18" s="490"/>
      <c r="F18" s="489">
        <f>'Table 3.26-REC Detail NonACS'!K23</f>
        <v>889.6325588322974</v>
      </c>
      <c r="G18" s="12" t="s">
        <v>242</v>
      </c>
      <c r="H18" s="358">
        <f t="shared" si="1"/>
        <v>0.036758584264819726</v>
      </c>
      <c r="J18" s="551">
        <f t="shared" si="2"/>
        <v>0.0010097263401632388</v>
      </c>
    </row>
    <row r="19" spans="1:10" ht="12.75">
      <c r="A19" s="239" t="s">
        <v>489</v>
      </c>
      <c r="B19" s="32">
        <f>'Table 3.21-CFS CIOSS Rejs'!B9-B9</f>
        <v>13924.065590472626</v>
      </c>
      <c r="C19" s="490" t="s">
        <v>587</v>
      </c>
      <c r="D19" s="488">
        <f>'Table 3.21-CFS CIOSS Rejs'!I9</f>
        <v>0.23654193194975767</v>
      </c>
      <c r="E19" s="241" t="s">
        <v>244</v>
      </c>
      <c r="F19" s="489">
        <f>B19*D19</f>
        <v>3293.6253753655383</v>
      </c>
      <c r="H19" s="358">
        <f t="shared" si="1"/>
        <v>0.01580371092455839</v>
      </c>
      <c r="J19" s="551">
        <f t="shared" si="2"/>
        <v>0.0037382403140705325</v>
      </c>
    </row>
    <row r="20" spans="1:10" ht="12.75" customHeight="1">
      <c r="A20" s="100" t="s">
        <v>102</v>
      </c>
      <c r="B20" s="492">
        <f>B13</f>
        <v>308372.0640000001</v>
      </c>
      <c r="C20" s="151"/>
      <c r="D20" s="488">
        <f>F20/B20</f>
        <v>0.15825613145152528</v>
      </c>
      <c r="E20" s="151"/>
      <c r="F20" s="489">
        <f>SUM(F13:F19)</f>
        <v>48801.76989636218</v>
      </c>
      <c r="G20" s="18"/>
      <c r="H20" s="142"/>
      <c r="I20" s="18"/>
      <c r="J20" s="552">
        <f>SUM(J13:J19)</f>
        <v>0.05538964600803386</v>
      </c>
    </row>
    <row r="21" spans="1:10" ht="4.5" customHeight="1">
      <c r="A21" s="100"/>
      <c r="B21" s="324"/>
      <c r="C21" s="18"/>
      <c r="D21" s="18"/>
      <c r="E21" s="18"/>
      <c r="F21" s="489"/>
      <c r="G21" s="18"/>
      <c r="H21" s="142"/>
      <c r="I21" s="18"/>
      <c r="J21" s="18"/>
    </row>
    <row r="22" spans="1:10" ht="12.75" customHeight="1">
      <c r="A22" s="15" t="s">
        <v>579</v>
      </c>
      <c r="B22" s="324"/>
      <c r="C22" s="18"/>
      <c r="D22" s="18"/>
      <c r="E22" s="18"/>
      <c r="F22" s="489"/>
      <c r="G22" s="18"/>
      <c r="H22" s="142"/>
      <c r="I22" s="18"/>
      <c r="J22" s="18"/>
    </row>
    <row r="23" spans="1:10" ht="12.75" customHeight="1">
      <c r="A23" s="353" t="s">
        <v>320</v>
      </c>
      <c r="B23" s="6">
        <f>SUM(B10,B20)</f>
        <v>881063.04</v>
      </c>
      <c r="D23" s="83">
        <f>'Table 3.30-UAA MP Cost'!D8</f>
        <v>0.0665056723174802</v>
      </c>
      <c r="E23" s="12" t="s">
        <v>591</v>
      </c>
      <c r="F23" s="489">
        <f>B23*D23</f>
        <v>58595.68982928295</v>
      </c>
      <c r="G23" s="18"/>
      <c r="H23" s="358">
        <f>B23/$B$29</f>
        <v>1</v>
      </c>
      <c r="J23" s="551">
        <f>D23*H23</f>
        <v>0.0665056723174802</v>
      </c>
    </row>
    <row r="24" spans="1:10" ht="12.75">
      <c r="A24" s="353" t="s">
        <v>99</v>
      </c>
      <c r="B24" s="6">
        <f>'Table 3.35-PD Vols'!B6</f>
        <v>0</v>
      </c>
      <c r="C24" s="12" t="s">
        <v>590</v>
      </c>
      <c r="D24" s="83">
        <f>'Table 3.32-Accounting Post Due'!I7</f>
        <v>1.542177987898826</v>
      </c>
      <c r="E24" s="12" t="s">
        <v>592</v>
      </c>
      <c r="F24" s="489">
        <f>B24*D24</f>
        <v>0</v>
      </c>
      <c r="G24" s="18"/>
      <c r="H24" s="358">
        <f>B24/$B$29</f>
        <v>0</v>
      </c>
      <c r="J24" s="551">
        <f>D24*H24</f>
        <v>0</v>
      </c>
    </row>
    <row r="25" spans="1:10" ht="12.75">
      <c r="A25" s="353" t="s">
        <v>100</v>
      </c>
      <c r="B25" s="6">
        <f>'Table 3.35-PD Vols'!B7</f>
        <v>0</v>
      </c>
      <c r="C25" s="12" t="s">
        <v>590</v>
      </c>
      <c r="D25" s="83">
        <f>'Table 3.33-Delivery Post Due'!I11</f>
        <v>0.8564071260303598</v>
      </c>
      <c r="E25" s="12" t="s">
        <v>593</v>
      </c>
      <c r="F25" s="489">
        <f>B25*D25</f>
        <v>0</v>
      </c>
      <c r="G25" s="18"/>
      <c r="H25" s="358">
        <f>B25/$B$29</f>
        <v>0</v>
      </c>
      <c r="J25" s="551">
        <f>D25*H25</f>
        <v>0</v>
      </c>
    </row>
    <row r="26" spans="1:10" ht="12.75">
      <c r="A26" s="497" t="s">
        <v>210</v>
      </c>
      <c r="B26" s="6">
        <f>'Table 3.35-PD Vols'!B8</f>
        <v>0</v>
      </c>
      <c r="C26" s="12" t="s">
        <v>590</v>
      </c>
      <c r="D26" s="83">
        <f>'Table 3.34-Window Post Due'!I7</f>
        <v>0.461390876138082</v>
      </c>
      <c r="E26" s="12" t="s">
        <v>594</v>
      </c>
      <c r="F26" s="489">
        <f>B26*D26</f>
        <v>0</v>
      </c>
      <c r="G26" s="18"/>
      <c r="H26" s="358">
        <f>B26/$B$29</f>
        <v>0</v>
      </c>
      <c r="J26" s="551">
        <f>D26*H26</f>
        <v>0</v>
      </c>
    </row>
    <row r="27" spans="1:10" ht="12.75">
      <c r="A27" s="100" t="s">
        <v>102</v>
      </c>
      <c r="B27" s="324">
        <f>B23</f>
        <v>881063.04</v>
      </c>
      <c r="C27" s="18"/>
      <c r="D27" s="83">
        <f>F27/B27</f>
        <v>0.0665056723174802</v>
      </c>
      <c r="E27" s="18"/>
      <c r="F27" s="489">
        <f>SUM(F23:F26)</f>
        <v>58595.68982928295</v>
      </c>
      <c r="G27" s="18"/>
      <c r="H27" s="142"/>
      <c r="I27" s="18"/>
      <c r="J27" s="552">
        <f>SUM(J23:J26)</f>
        <v>0.0665056723174802</v>
      </c>
    </row>
    <row r="28" spans="1:10" ht="4.5" customHeight="1">
      <c r="A28" s="91"/>
      <c r="B28" s="324"/>
      <c r="C28" s="18"/>
      <c r="D28" s="83"/>
      <c r="E28" s="18"/>
      <c r="F28" s="489"/>
      <c r="G28" s="18"/>
      <c r="H28" s="142"/>
      <c r="I28" s="18"/>
      <c r="J28" s="18"/>
    </row>
    <row r="29" spans="1:10" ht="12.75">
      <c r="A29" s="91" t="s">
        <v>504</v>
      </c>
      <c r="B29" s="393">
        <f>SUM(B10,B20)</f>
        <v>881063.04</v>
      </c>
      <c r="C29" s="18"/>
      <c r="D29" s="83"/>
      <c r="E29" s="18"/>
      <c r="F29" s="508">
        <f>SUM(F10,F20,F27)</f>
        <v>157428.89851534087</v>
      </c>
      <c r="G29" s="18"/>
      <c r="H29" s="142"/>
      <c r="I29" s="18"/>
      <c r="J29" s="553">
        <f>SUM(J10,J20,J27)</f>
        <v>0.17868062938531717</v>
      </c>
    </row>
    <row r="30" spans="1:10" ht="12.75" hidden="1">
      <c r="A30" s="91"/>
      <c r="B30" s="324"/>
      <c r="C30" s="18"/>
      <c r="D30" s="83"/>
      <c r="E30" s="18"/>
      <c r="F30" s="175"/>
      <c r="G30" s="18"/>
      <c r="H30" s="142"/>
      <c r="I30" s="18"/>
      <c r="J30" s="18"/>
    </row>
    <row r="31" spans="1:10" ht="12.75" hidden="1">
      <c r="A31" s="5"/>
      <c r="B31" s="240"/>
      <c r="F31" s="359"/>
      <c r="H31" s="6"/>
      <c r="J31" s="6"/>
    </row>
    <row r="32" spans="1:11" ht="12.75" hidden="1">
      <c r="A32" s="23" t="s">
        <v>191</v>
      </c>
      <c r="B32" s="143">
        <f>B5-SUM(B6:B9)</f>
        <v>0</v>
      </c>
      <c r="G32" s="482" t="s">
        <v>311</v>
      </c>
      <c r="H32" s="6">
        <f>SUM('Table 3.16-Route UAA PARS'!J106)</f>
        <v>21062.990834177766</v>
      </c>
      <c r="J32" s="6">
        <f>SUM(F13)</f>
        <v>21062.990834177766</v>
      </c>
      <c r="K32" s="143">
        <f aca="true" t="shared" si="3" ref="K32:K39">H32-J32</f>
        <v>0</v>
      </c>
    </row>
    <row r="33" spans="1:11" ht="12.75" hidden="1">
      <c r="A33" s="5"/>
      <c r="B33" s="143">
        <f>B15-SUM(B16:B19)</f>
        <v>0</v>
      </c>
      <c r="G33" s="46" t="s">
        <v>312</v>
      </c>
      <c r="H33" s="6">
        <f>SUM('Table 3.18-Nixie UAA'!I6)</f>
        <v>1860.3454980137053</v>
      </c>
      <c r="J33" s="6">
        <f>SUM(F14)</f>
        <v>1860.3454980137053</v>
      </c>
      <c r="K33" s="143">
        <f t="shared" si="3"/>
        <v>0</v>
      </c>
    </row>
    <row r="34" spans="1:11" ht="12.75" hidden="1">
      <c r="A34" s="5"/>
      <c r="B34" s="143">
        <f>B29-SUM('Table 3.23-CIOSS Summary'!C4,'Table 3.23-CIOSS Summary'!C8,'Table 3.23-CIOSS Summary'!C11)</f>
        <v>0</v>
      </c>
      <c r="G34" s="46" t="s">
        <v>313</v>
      </c>
      <c r="H34" s="6">
        <f>SUM('Table 3.21-CFS CIOSS Rejs'!H9)</f>
        <v>9410.35821533011</v>
      </c>
      <c r="J34" s="6">
        <f>SUM(F9,F19)</f>
        <v>9410.35821533011</v>
      </c>
      <c r="K34" s="143">
        <f t="shared" si="3"/>
        <v>0</v>
      </c>
    </row>
    <row r="35" spans="1:11" ht="12.75" hidden="1">
      <c r="A35" s="5"/>
      <c r="B35" s="240"/>
      <c r="G35" s="483" t="s">
        <v>502</v>
      </c>
      <c r="H35" s="6">
        <f>SUM('Table 3.23-CIOSS Summary'!I4,'Table 3.23-CIOSS Summary'!I8,'Table 3.23-CIOSS Summary'!I11)</f>
        <v>38195.48149015158</v>
      </c>
      <c r="J35" s="6">
        <f>SUM(F5,F15)</f>
        <v>38195.48149015158</v>
      </c>
      <c r="K35" s="143">
        <f t="shared" si="3"/>
        <v>0</v>
      </c>
    </row>
    <row r="36" spans="1:11" ht="12.75" hidden="1">
      <c r="A36" s="5"/>
      <c r="B36" s="240"/>
      <c r="G36" s="483" t="s">
        <v>503</v>
      </c>
      <c r="H36" s="6">
        <f>'Table 3.25-REC Summary'!K4+'Table 3.25-REC Summary'!K8</f>
        <v>28304.03264838477</v>
      </c>
      <c r="J36" s="6">
        <f>SUM(F7:F8,F17:F18)</f>
        <v>28304.03264838477</v>
      </c>
      <c r="K36" s="143">
        <f t="shared" si="3"/>
        <v>0</v>
      </c>
    </row>
    <row r="37" spans="1:11" ht="12.75" hidden="1">
      <c r="A37" s="5"/>
      <c r="B37" s="240"/>
      <c r="G37" s="67" t="s">
        <v>518</v>
      </c>
      <c r="H37" s="32">
        <f>'Table 3.30-UAA MP Cost'!F8</f>
        <v>58595.68982928295</v>
      </c>
      <c r="J37" s="6">
        <f>F23</f>
        <v>58595.68982928295</v>
      </c>
      <c r="K37" s="143">
        <f t="shared" si="3"/>
        <v>0</v>
      </c>
    </row>
    <row r="38" spans="1:11" ht="12.75" hidden="1">
      <c r="A38" s="5"/>
      <c r="G38" s="67" t="s">
        <v>315</v>
      </c>
      <c r="H38" s="32">
        <f>SUM(F24:F26)</f>
        <v>0</v>
      </c>
      <c r="I38" s="27"/>
      <c r="J38" s="32">
        <f>SUM(F24:F26)</f>
        <v>0</v>
      </c>
      <c r="K38" s="143">
        <f t="shared" si="3"/>
        <v>0</v>
      </c>
    </row>
    <row r="39" spans="1:11" ht="12.75" hidden="1">
      <c r="A39" s="5"/>
      <c r="B39" s="240"/>
      <c r="G39" s="46" t="s">
        <v>314</v>
      </c>
      <c r="H39" s="6">
        <f>SUM(H32:H38)</f>
        <v>157428.8985153409</v>
      </c>
      <c r="J39" s="6">
        <f>SUM(J32:J38)</f>
        <v>157428.8985153409</v>
      </c>
      <c r="K39" s="143">
        <f t="shared" si="3"/>
        <v>0</v>
      </c>
    </row>
    <row r="40" spans="1:8" ht="12.75">
      <c r="A40" s="283"/>
      <c r="B40" s="283"/>
      <c r="C40" s="283"/>
      <c r="D40" s="283"/>
      <c r="E40" s="283"/>
      <c r="F40" s="283"/>
      <c r="H40" s="240"/>
    </row>
    <row r="41" ht="12.75">
      <c r="A41" s="284" t="s">
        <v>235</v>
      </c>
    </row>
    <row r="42" spans="1:5" ht="12.75">
      <c r="A42" s="241" t="s">
        <v>65</v>
      </c>
      <c r="D42" s="12"/>
      <c r="E42" s="241" t="s">
        <v>679</v>
      </c>
    </row>
    <row r="43" spans="1:10" ht="12.75">
      <c r="A43" s="241" t="s">
        <v>580</v>
      </c>
      <c r="D43" s="12"/>
      <c r="E43" s="241" t="s">
        <v>680</v>
      </c>
      <c r="F43" s="6"/>
      <c r="H43" s="234"/>
      <c r="J43" s="6"/>
    </row>
    <row r="44" spans="1:10" ht="12.75">
      <c r="A44" s="241" t="s">
        <v>581</v>
      </c>
      <c r="D44" s="12"/>
      <c r="E44" s="241" t="s">
        <v>681</v>
      </c>
      <c r="F44" s="6"/>
      <c r="H44" s="234"/>
      <c r="J44" s="6"/>
    </row>
    <row r="45" spans="1:10" ht="12.75">
      <c r="A45" s="241" t="s">
        <v>583</v>
      </c>
      <c r="E45" s="241" t="s">
        <v>682</v>
      </c>
      <c r="J45" s="6"/>
    </row>
    <row r="46" spans="1:6" ht="12.75">
      <c r="A46" s="241" t="s">
        <v>678</v>
      </c>
      <c r="E46" s="241" t="s">
        <v>683</v>
      </c>
      <c r="F46" s="6"/>
    </row>
    <row r="47" spans="1:6" ht="12.75">
      <c r="A47" s="241" t="s">
        <v>584</v>
      </c>
      <c r="E47" s="241" t="s">
        <v>43</v>
      </c>
      <c r="F47" s="6"/>
    </row>
    <row r="48" ht="12.75">
      <c r="A48" s="241" t="s">
        <v>615</v>
      </c>
    </row>
    <row r="49" ht="12.75">
      <c r="A49" s="241" t="s">
        <v>585</v>
      </c>
    </row>
    <row r="50" ht="12.75">
      <c r="A50" s="241" t="s">
        <v>588</v>
      </c>
    </row>
    <row r="51" ht="12.75">
      <c r="A51" s="241" t="s">
        <v>589</v>
      </c>
    </row>
    <row r="52" ht="12.75">
      <c r="A52" s="241" t="s">
        <v>616</v>
      </c>
    </row>
  </sheetData>
  <sheetProtection/>
  <printOptions horizontalCentered="1"/>
  <pageMargins left="0.75" right="0.75" top="1" bottom="1" header="0.5" footer="0.5"/>
  <pageSetup fitToHeight="1" fitToWidth="1" horizontalDpi="600" verticalDpi="600" orientation="landscape" scale="90" r:id="rId3"/>
  <headerFooter alignWithMargins="0">
    <oddFooter>&amp;L&amp;F</oddFooter>
  </headerFooter>
  <legacyDrawing r:id="rId2"/>
</worksheet>
</file>

<file path=xl/worksheets/sheet40.xml><?xml version="1.0" encoding="utf-8"?>
<worksheet xmlns="http://schemas.openxmlformats.org/spreadsheetml/2006/main" xmlns:r="http://schemas.openxmlformats.org/officeDocument/2006/relationships">
  <sheetPr>
    <pageSetUpPr fitToPage="1"/>
  </sheetPr>
  <dimension ref="A1:C14"/>
  <sheetViews>
    <sheetView zoomScale="70" zoomScaleNormal="70" zoomScalePageLayoutView="0" workbookViewId="0" topLeftCell="A1">
      <selection activeCell="A1" sqref="A1"/>
    </sheetView>
  </sheetViews>
  <sheetFormatPr defaultColWidth="9.140625" defaultRowHeight="12.75"/>
  <cols>
    <col min="1" max="1" width="13.57421875" style="18" customWidth="1"/>
    <col min="2" max="3" width="11.7109375" style="18" customWidth="1"/>
    <col min="4" max="16384" width="9.140625" style="18" customWidth="1"/>
  </cols>
  <sheetData>
    <row r="1" ht="15.75" customHeight="1">
      <c r="A1" s="157" t="s">
        <v>765</v>
      </c>
    </row>
    <row r="2" ht="15.75" customHeight="1">
      <c r="A2" s="158" t="s">
        <v>787</v>
      </c>
    </row>
    <row r="3" ht="4.5" customHeight="1">
      <c r="A3" s="307"/>
    </row>
    <row r="4" spans="1:3" ht="25.5">
      <c r="A4" s="431" t="s">
        <v>357</v>
      </c>
      <c r="B4" s="168" t="s">
        <v>250</v>
      </c>
      <c r="C4" s="227" t="s">
        <v>172</v>
      </c>
    </row>
    <row r="5" spans="1:3" ht="12.75">
      <c r="A5" s="151" t="s">
        <v>319</v>
      </c>
      <c r="B5" s="44">
        <f>'Table 3.37-Notice Inputs'!B19/1000</f>
        <v>7125.646450268667</v>
      </c>
      <c r="C5" s="79">
        <f>B5/B7</f>
        <v>0.5623906983632035</v>
      </c>
    </row>
    <row r="6" spans="1:3" ht="12.75">
      <c r="A6" s="151" t="s">
        <v>318</v>
      </c>
      <c r="B6" s="44">
        <f>'Table 3.37-Notice Inputs'!B20/1000</f>
        <v>5544.631473970359</v>
      </c>
      <c r="C6" s="80">
        <f>B6/B7</f>
        <v>0.43760930163679645</v>
      </c>
    </row>
    <row r="7" spans="1:3" ht="12.75">
      <c r="A7" s="151" t="s">
        <v>102</v>
      </c>
      <c r="B7" s="37">
        <f>SUM(B5:B6)</f>
        <v>12670.277924239026</v>
      </c>
      <c r="C7" s="599">
        <f>SUM(C5:C6)</f>
        <v>1</v>
      </c>
    </row>
    <row r="8" spans="1:3" ht="12.75">
      <c r="A8" s="141"/>
      <c r="B8" s="282"/>
      <c r="C8" s="456"/>
    </row>
    <row r="9" spans="1:3" ht="12.75">
      <c r="A9" s="66" t="s">
        <v>235</v>
      </c>
      <c r="B9" s="37"/>
      <c r="C9" s="109"/>
    </row>
    <row r="10" spans="1:3" ht="12.75">
      <c r="A10" s="125" t="s">
        <v>775</v>
      </c>
      <c r="B10" s="37"/>
      <c r="C10" s="109"/>
    </row>
    <row r="11" spans="1:3" ht="12.75">
      <c r="A11" s="4"/>
      <c r="B11" s="37"/>
      <c r="C11" s="109"/>
    </row>
    <row r="12" spans="1:3" ht="12.75">
      <c r="A12" s="4"/>
      <c r="B12" s="37"/>
      <c r="C12" s="109"/>
    </row>
    <row r="13" spans="1:3" ht="12.75">
      <c r="A13" s="4"/>
      <c r="B13" s="37"/>
      <c r="C13" s="109"/>
    </row>
    <row r="14" spans="1:3" ht="12.75">
      <c r="A14" s="4"/>
      <c r="B14" s="37"/>
      <c r="C14" s="109"/>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O18"/>
  <sheetViews>
    <sheetView zoomScale="70" zoomScaleNormal="70" zoomScalePageLayoutView="0" workbookViewId="0" topLeftCell="A1">
      <selection activeCell="A1" sqref="A1"/>
    </sheetView>
  </sheetViews>
  <sheetFormatPr defaultColWidth="7.8515625" defaultRowHeight="12.75"/>
  <cols>
    <col min="1" max="1" width="28.140625" style="4" customWidth="1"/>
    <col min="2" max="2" width="26.28125" style="4" customWidth="1"/>
    <col min="3" max="3" width="2.7109375" style="4" customWidth="1"/>
    <col min="4" max="4" width="12.7109375" style="4" customWidth="1"/>
    <col min="5" max="5" width="2.7109375" style="4" customWidth="1"/>
    <col min="6" max="6" width="25.8515625" style="38" customWidth="1"/>
    <col min="7" max="7" width="2.7109375" style="4" customWidth="1"/>
    <col min="8" max="8" width="12.7109375" style="4" customWidth="1"/>
    <col min="9" max="9" width="2.7109375" style="4" customWidth="1"/>
    <col min="10" max="10" width="11.28125" style="4" customWidth="1"/>
    <col min="11" max="13" width="7.8515625" style="4" customWidth="1"/>
    <col min="14" max="14" width="9.421875" style="4" customWidth="1"/>
    <col min="15" max="15" width="9.28125" style="4" customWidth="1"/>
    <col min="16" max="16384" width="7.8515625" style="4" customWidth="1"/>
  </cols>
  <sheetData>
    <row r="1" spans="1:6" ht="15.75">
      <c r="A1" s="157" t="s">
        <v>719</v>
      </c>
      <c r="B1" s="1"/>
      <c r="C1" s="1"/>
      <c r="D1" s="1"/>
      <c r="E1" s="1"/>
      <c r="F1" s="1"/>
    </row>
    <row r="2" spans="1:6" ht="15.75">
      <c r="A2" s="158" t="s">
        <v>787</v>
      </c>
      <c r="B2" s="1"/>
      <c r="C2" s="1"/>
      <c r="D2" s="1"/>
      <c r="E2" s="1"/>
      <c r="F2" s="1"/>
    </row>
    <row r="3" spans="2:10" ht="25.5">
      <c r="B3" s="9" t="s">
        <v>745</v>
      </c>
      <c r="C3" s="9"/>
      <c r="D3" s="9" t="s">
        <v>457</v>
      </c>
      <c r="E3" s="9"/>
      <c r="F3" s="9" t="s">
        <v>458</v>
      </c>
      <c r="H3" s="301" t="s">
        <v>256</v>
      </c>
      <c r="I3" s="102"/>
      <c r="J3" s="3" t="s">
        <v>134</v>
      </c>
    </row>
    <row r="4" spans="1:15" ht="12.75">
      <c r="A4" s="91" t="s">
        <v>743</v>
      </c>
      <c r="B4" s="245">
        <f>SUM('Table 3.29-UAA MP Units'!B22:C22)/SUM('Table 3.29-UAA MP Units'!B27:C27)+'Table 3.29-UAA MP Units'!B12</f>
        <v>0.04496298045951733</v>
      </c>
      <c r="C4" s="571" t="s">
        <v>236</v>
      </c>
      <c r="D4" s="235">
        <f>'Table 3.37-Notice Inputs'!B4</f>
        <v>1.0360078863380962</v>
      </c>
      <c r="E4" s="303" t="s">
        <v>239</v>
      </c>
      <c r="F4" s="103">
        <f>B4/D4</f>
        <v>0.04340022991373627</v>
      </c>
      <c r="H4" s="80">
        <v>1.5595101237373266</v>
      </c>
      <c r="I4" s="80"/>
      <c r="J4" s="103">
        <f>F4*H4</f>
        <v>0.06768309792299927</v>
      </c>
      <c r="M4" s="37"/>
      <c r="N4" s="595"/>
      <c r="O4" s="38"/>
    </row>
    <row r="5" spans="1:15" ht="12.75">
      <c r="A5" s="91" t="s">
        <v>744</v>
      </c>
      <c r="B5" s="245">
        <v>0.03334759082386048</v>
      </c>
      <c r="C5" s="571" t="s">
        <v>240</v>
      </c>
      <c r="D5" s="235">
        <v>1</v>
      </c>
      <c r="E5" s="303"/>
      <c r="F5" s="103">
        <f>B5/D5</f>
        <v>0.03334759082386048</v>
      </c>
      <c r="H5" s="80">
        <v>1.5595101237373266</v>
      </c>
      <c r="I5" s="80"/>
      <c r="J5" s="103">
        <f>F5*H5</f>
        <v>0.0520059054920604</v>
      </c>
      <c r="M5" s="37"/>
      <c r="N5" s="595"/>
      <c r="O5" s="595"/>
    </row>
    <row r="6" spans="1:15" ht="12.75">
      <c r="A6" s="5" t="s">
        <v>126</v>
      </c>
      <c r="B6" s="245">
        <f>'Table 3.29-UAA MP Units'!D17+'Table 3.29-UAA MP Units'!B12</f>
        <v>0.18470286042058254</v>
      </c>
      <c r="C6" s="571" t="s">
        <v>236</v>
      </c>
      <c r="D6" s="235">
        <f>'Table 3.37-Notice Inputs'!B5</f>
        <v>8.337340046259165</v>
      </c>
      <c r="E6" s="303" t="s">
        <v>239</v>
      </c>
      <c r="F6" s="103">
        <f>B6/D6</f>
        <v>0.02215369163255562</v>
      </c>
      <c r="H6" s="80">
        <v>1.5595101237373266</v>
      </c>
      <c r="I6" s="80"/>
      <c r="J6" s="103">
        <f>F6*H6</f>
        <v>0.03454890637912539</v>
      </c>
      <c r="M6" s="37"/>
      <c r="N6" s="37"/>
      <c r="O6" s="596"/>
    </row>
    <row r="7" spans="1:10" ht="12.75">
      <c r="A7" s="91" t="s">
        <v>268</v>
      </c>
      <c r="B7" s="245">
        <f>SUM('Table 3.29-UAA MP Units'!B22:C22)/SUM('Table 3.29-UAA MP Units'!B27:C27)+'Table 3.29-UAA MP Units'!B12</f>
        <v>0.04496298045951733</v>
      </c>
      <c r="C7" s="571" t="s">
        <v>236</v>
      </c>
      <c r="D7" s="235">
        <v>1</v>
      </c>
      <c r="E7" s="303"/>
      <c r="F7" s="103">
        <f>B7/D7</f>
        <v>0.04496298045951733</v>
      </c>
      <c r="H7" s="80">
        <v>1.5595101237373266</v>
      </c>
      <c r="I7" s="80"/>
      <c r="J7" s="103">
        <f>F7*H7</f>
        <v>0.07012022322002086</v>
      </c>
    </row>
    <row r="8" spans="1:10" ht="12.75">
      <c r="A8" s="302"/>
      <c r="B8" s="302"/>
      <c r="C8" s="302"/>
      <c r="D8" s="302"/>
      <c r="E8" s="66"/>
      <c r="F8" s="243"/>
      <c r="G8" s="244"/>
      <c r="H8" s="66"/>
      <c r="I8" s="66"/>
      <c r="J8" s="66"/>
    </row>
    <row r="9" spans="1:10" ht="12.75">
      <c r="A9" s="66" t="s">
        <v>235</v>
      </c>
      <c r="B9" s="66"/>
      <c r="C9" s="66"/>
      <c r="D9" s="66"/>
      <c r="E9" s="66"/>
      <c r="F9" s="243"/>
      <c r="G9" s="66"/>
      <c r="H9" s="66"/>
      <c r="I9" s="66"/>
      <c r="J9" s="66"/>
    </row>
    <row r="10" spans="1:10" ht="12.75">
      <c r="A10" s="125" t="s">
        <v>722</v>
      </c>
      <c r="B10" s="245"/>
      <c r="C10" s="245"/>
      <c r="D10" s="66"/>
      <c r="E10" s="66"/>
      <c r="F10" s="243"/>
      <c r="G10" s="244"/>
      <c r="H10" s="66"/>
      <c r="I10" s="66"/>
      <c r="J10" s="66"/>
    </row>
    <row r="11" spans="1:10" ht="12.75">
      <c r="A11" s="25" t="s">
        <v>795</v>
      </c>
      <c r="B11" s="66"/>
      <c r="C11" s="66"/>
      <c r="D11" s="66"/>
      <c r="E11" s="66"/>
      <c r="F11" s="243"/>
      <c r="G11" s="66"/>
      <c r="H11" s="66"/>
      <c r="I11" s="66"/>
      <c r="J11" s="66"/>
    </row>
    <row r="12" spans="1:10" ht="12.75">
      <c r="A12" s="125" t="s">
        <v>706</v>
      </c>
      <c r="B12" s="66"/>
      <c r="C12" s="66"/>
      <c r="D12" s="66"/>
      <c r="E12" s="66"/>
      <c r="F12" s="243"/>
      <c r="G12" s="66"/>
      <c r="H12" s="66"/>
      <c r="I12" s="66"/>
      <c r="J12" s="66"/>
    </row>
    <row r="13" spans="1:10" ht="12.75">
      <c r="A13" s="125" t="s">
        <v>822</v>
      </c>
      <c r="B13" s="66"/>
      <c r="C13" s="66"/>
      <c r="D13" s="66"/>
      <c r="E13" s="66"/>
      <c r="F13" s="243"/>
      <c r="G13" s="66"/>
      <c r="H13" s="66"/>
      <c r="I13" s="66"/>
      <c r="J13" s="66"/>
    </row>
    <row r="14" spans="1:10" ht="12.75">
      <c r="A14" s="125"/>
      <c r="B14" s="66"/>
      <c r="C14" s="66"/>
      <c r="D14" s="66"/>
      <c r="E14" s="66"/>
      <c r="F14" s="243"/>
      <c r="G14" s="66"/>
      <c r="H14" s="66"/>
      <c r="I14" s="66"/>
      <c r="J14" s="66"/>
    </row>
    <row r="15" ht="12.75">
      <c r="A15" s="556"/>
    </row>
    <row r="16" spans="1:7" ht="12.75">
      <c r="A16" s="557"/>
      <c r="B16" s="66"/>
      <c r="C16" s="66"/>
      <c r="D16" s="66"/>
      <c r="E16" s="66"/>
      <c r="F16" s="66"/>
      <c r="G16" s="66"/>
    </row>
    <row r="17" spans="1:7" ht="12.75">
      <c r="A17" s="557"/>
      <c r="B17" s="66"/>
      <c r="C17" s="66"/>
      <c r="D17" s="66"/>
      <c r="E17" s="66"/>
      <c r="F17" s="66"/>
      <c r="G17" s="66"/>
    </row>
    <row r="18" spans="1:7" ht="12.75">
      <c r="A18" s="557"/>
      <c r="B18" s="66"/>
      <c r="C18" s="66"/>
      <c r="D18" s="66"/>
      <c r="E18" s="66"/>
      <c r="F18" s="66"/>
      <c r="G18" s="66"/>
    </row>
  </sheetData>
  <sheetProtection/>
  <printOptions horizontalCentered="1"/>
  <pageMargins left="0.75" right="0.75" top="1" bottom="1" header="0.5" footer="0.5"/>
  <pageSetup fitToHeight="1" fitToWidth="1" horizontalDpi="600" verticalDpi="600" orientation="landscape" scale="96" r:id="rId1"/>
  <headerFooter alignWithMargins="0">
    <oddFooter>&amp;L&amp;F</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F44"/>
  <sheetViews>
    <sheetView zoomScale="70" zoomScaleNormal="70" zoomScalePageLayoutView="0" workbookViewId="0" topLeftCell="A1">
      <selection activeCell="A1" sqref="A1"/>
    </sheetView>
  </sheetViews>
  <sheetFormatPr defaultColWidth="9.140625" defaultRowHeight="12.75"/>
  <cols>
    <col min="1" max="1" width="42.7109375" style="0" customWidth="1"/>
    <col min="2" max="2" width="13.7109375" style="0" customWidth="1"/>
    <col min="3" max="3" width="3.28125" style="0" customWidth="1"/>
    <col min="4" max="4" width="10.7109375" style="0" customWidth="1"/>
    <col min="5" max="5" width="3.28125" style="0" customWidth="1"/>
    <col min="6" max="6" width="13.7109375" style="0" customWidth="1"/>
  </cols>
  <sheetData>
    <row r="1" spans="1:6" ht="15.75">
      <c r="A1" s="158" t="s">
        <v>720</v>
      </c>
      <c r="B1" s="17"/>
      <c r="C1" s="17"/>
      <c r="D1" s="17"/>
      <c r="E1" s="17"/>
      <c r="F1" s="17"/>
    </row>
    <row r="2" spans="1:6" ht="15.75">
      <c r="A2" s="158" t="s">
        <v>787</v>
      </c>
      <c r="B2" s="17"/>
      <c r="C2" s="17"/>
      <c r="D2" s="17"/>
      <c r="E2" s="17"/>
      <c r="F2" s="17"/>
    </row>
    <row r="3" spans="1:6" ht="12.75">
      <c r="A3" s="34"/>
      <c r="B3" s="148"/>
      <c r="C3" s="149"/>
      <c r="D3" s="149"/>
      <c r="E3" s="149"/>
      <c r="F3" s="150"/>
    </row>
    <row r="4" spans="1:6" ht="12.75">
      <c r="A4" s="18"/>
      <c r="B4" s="233" t="s">
        <v>226</v>
      </c>
      <c r="C4" s="233"/>
      <c r="D4" s="152"/>
      <c r="E4" s="308"/>
      <c r="F4" s="230" t="s">
        <v>117</v>
      </c>
    </row>
    <row r="5" spans="1:6" ht="12.75">
      <c r="A5" s="18"/>
      <c r="B5" s="232" t="s">
        <v>118</v>
      </c>
      <c r="C5" s="232"/>
      <c r="D5" s="155" t="s">
        <v>97</v>
      </c>
      <c r="E5" s="309"/>
      <c r="F5" s="231" t="s">
        <v>118</v>
      </c>
    </row>
    <row r="6" spans="1:6" ht="12.75">
      <c r="A6" s="250" t="s">
        <v>119</v>
      </c>
      <c r="B6" s="251"/>
      <c r="C6" s="251"/>
      <c r="D6" s="251"/>
      <c r="E6" s="310"/>
      <c r="F6" s="252"/>
    </row>
    <row r="7" spans="1:6" ht="12.75">
      <c r="A7" s="253" t="s">
        <v>120</v>
      </c>
      <c r="B7" s="254"/>
      <c r="C7" s="254"/>
      <c r="D7" s="255"/>
      <c r="E7" s="311"/>
      <c r="F7" s="256"/>
    </row>
    <row r="8" spans="1:6" ht="12.75">
      <c r="A8" s="321" t="s">
        <v>455</v>
      </c>
      <c r="B8" s="153">
        <f>'Table 3.11-Form3547 Costs'!L52</f>
        <v>0.015106847029050649</v>
      </c>
      <c r="C8" s="315" t="s">
        <v>236</v>
      </c>
      <c r="D8" s="255"/>
      <c r="E8" s="311"/>
      <c r="F8" s="256"/>
    </row>
    <row r="9" spans="1:6" ht="12.75">
      <c r="A9" s="321" t="s">
        <v>318</v>
      </c>
      <c r="B9" s="153">
        <f>'Table 3.11-Form3547 Costs'!L53</f>
        <v>0.001684241945526012</v>
      </c>
      <c r="C9" s="315" t="s">
        <v>236</v>
      </c>
      <c r="D9" s="255"/>
      <c r="E9" s="311"/>
      <c r="F9" s="256"/>
    </row>
    <row r="10" spans="1:6" ht="12.75">
      <c r="A10" s="257" t="s">
        <v>121</v>
      </c>
      <c r="B10" s="153">
        <f>'Table 3.11-Form3547 Costs'!L54</f>
        <v>0.05385348194192626</v>
      </c>
      <c r="C10" s="315" t="s">
        <v>236</v>
      </c>
      <c r="D10" s="116"/>
      <c r="E10" s="312"/>
      <c r="F10" s="256"/>
    </row>
    <row r="11" spans="1:6" ht="12.75">
      <c r="A11" s="257" t="s">
        <v>122</v>
      </c>
      <c r="B11" s="153">
        <f>'Table 3.11-Form3547 Costs'!L55</f>
        <v>0.4608888253912625</v>
      </c>
      <c r="C11" s="315" t="s">
        <v>236</v>
      </c>
      <c r="D11" s="255"/>
      <c r="E11" s="311"/>
      <c r="F11" s="256"/>
    </row>
    <row r="12" spans="1:6" ht="12.75">
      <c r="A12" s="257" t="s">
        <v>123</v>
      </c>
      <c r="B12" s="153">
        <f>'Table 3.11-Form3547 Costs'!L56</f>
        <v>0.030948275756869332</v>
      </c>
      <c r="C12" s="315" t="s">
        <v>236</v>
      </c>
      <c r="D12" s="255"/>
      <c r="E12" s="311"/>
      <c r="F12" s="256"/>
    </row>
    <row r="13" spans="1:6" ht="12.75">
      <c r="A13" s="258" t="s">
        <v>102</v>
      </c>
      <c r="B13" s="154">
        <f>SUM(B8:B12)</f>
        <v>0.5624816720646347</v>
      </c>
      <c r="C13" s="154"/>
      <c r="D13" s="263">
        <f>'Table 3.37-Notice Inputs'!B12</f>
        <v>0.6897849580702745</v>
      </c>
      <c r="E13" s="316" t="s">
        <v>238</v>
      </c>
      <c r="F13" s="260">
        <f>B13*D13</f>
        <v>0.387991396580402</v>
      </c>
    </row>
    <row r="14" spans="1:6" ht="12.75">
      <c r="A14" s="261"/>
      <c r="B14" s="153"/>
      <c r="C14" s="153"/>
      <c r="D14" s="259"/>
      <c r="E14" s="313"/>
      <c r="F14" s="262"/>
    </row>
    <row r="15" spans="1:6" ht="12.75">
      <c r="A15" s="253" t="s">
        <v>114</v>
      </c>
      <c r="B15" s="153"/>
      <c r="C15" s="153"/>
      <c r="D15" s="259"/>
      <c r="E15" s="313"/>
      <c r="F15" s="262"/>
    </row>
    <row r="16" spans="1:6" ht="12.75">
      <c r="A16" s="321" t="s">
        <v>455</v>
      </c>
      <c r="B16" s="153">
        <f>'Table 3.11-Form3547 Costs'!L60</f>
        <v>0.062250546553764136</v>
      </c>
      <c r="C16" s="315" t="s">
        <v>236</v>
      </c>
      <c r="D16" s="259"/>
      <c r="E16" s="313"/>
      <c r="F16" s="262"/>
    </row>
    <row r="17" spans="1:6" ht="12.75">
      <c r="A17" s="321" t="s">
        <v>318</v>
      </c>
      <c r="B17" s="153">
        <f>'Table 3.11-Form3547 Costs'!L61</f>
        <v>0.006940229250759681</v>
      </c>
      <c r="C17" s="315" t="s">
        <v>236</v>
      </c>
      <c r="D17" s="259"/>
      <c r="E17" s="313"/>
      <c r="F17" s="262"/>
    </row>
    <row r="18" spans="1:6" ht="12.75">
      <c r="A18" s="257" t="s">
        <v>121</v>
      </c>
      <c r="B18" s="153">
        <f>'Table 3.11-Form3547 Costs'!L62</f>
        <v>0.0596191846616212</v>
      </c>
      <c r="C18" s="315" t="s">
        <v>236</v>
      </c>
      <c r="D18" s="259"/>
      <c r="E18" s="313"/>
      <c r="F18" s="262"/>
    </row>
    <row r="19" spans="1:6" ht="12.75">
      <c r="A19" s="257" t="s">
        <v>122</v>
      </c>
      <c r="B19" s="153">
        <f>'Table 3.11-Form3547 Costs'!L63</f>
        <v>0.6041929731709097</v>
      </c>
      <c r="C19" s="315" t="s">
        <v>236</v>
      </c>
      <c r="D19" s="259"/>
      <c r="E19" s="313"/>
      <c r="F19" s="262"/>
    </row>
    <row r="20" spans="1:6" ht="12.75">
      <c r="A20" s="257" t="s">
        <v>123</v>
      </c>
      <c r="B20" s="153">
        <f>'Table 3.11-Form3547 Costs'!L64</f>
        <v>0.030551049871202204</v>
      </c>
      <c r="C20" s="315" t="s">
        <v>236</v>
      </c>
      <c r="D20" s="259"/>
      <c r="E20" s="313"/>
      <c r="F20" s="262"/>
    </row>
    <row r="21" spans="1:6" ht="12.75">
      <c r="A21" s="253" t="s">
        <v>102</v>
      </c>
      <c r="B21" s="154">
        <f>SUM(B16:B20)</f>
        <v>0.7635539835082569</v>
      </c>
      <c r="C21" s="154"/>
      <c r="D21" s="263">
        <f>'Table 3.37-Notice Inputs'!B13</f>
        <v>0.0929032863665538</v>
      </c>
      <c r="E21" s="316" t="s">
        <v>238</v>
      </c>
      <c r="F21" s="260">
        <f>B21*D21</f>
        <v>0.07093667438619049</v>
      </c>
    </row>
    <row r="22" spans="1:6" ht="12.75">
      <c r="A22" s="261"/>
      <c r="B22" s="153"/>
      <c r="C22" s="153"/>
      <c r="D22" s="263"/>
      <c r="E22" s="313"/>
      <c r="F22" s="262"/>
    </row>
    <row r="23" spans="1:6" ht="12.75">
      <c r="A23" s="253" t="s">
        <v>124</v>
      </c>
      <c r="B23" s="153"/>
      <c r="C23" s="153"/>
      <c r="D23" s="263">
        <f>1-D13-D21</f>
        <v>0.21731175556317167</v>
      </c>
      <c r="E23" s="316" t="s">
        <v>238</v>
      </c>
      <c r="F23" s="260">
        <v>0</v>
      </c>
    </row>
    <row r="24" spans="1:6" ht="12.75">
      <c r="A24" s="261"/>
      <c r="B24" s="153"/>
      <c r="C24" s="153"/>
      <c r="D24" s="263"/>
      <c r="E24" s="314"/>
      <c r="F24" s="262"/>
    </row>
    <row r="25" spans="1:6" ht="12.75">
      <c r="A25" s="253" t="s">
        <v>125</v>
      </c>
      <c r="B25" s="153"/>
      <c r="C25" s="153"/>
      <c r="D25" s="263">
        <f>SUM(D13,D21,D23)</f>
        <v>1</v>
      </c>
      <c r="E25" s="313"/>
      <c r="F25" s="264">
        <f>SUM(F13:F23)</f>
        <v>0.4589280709665925</v>
      </c>
    </row>
    <row r="26" spans="1:6" ht="12.75">
      <c r="A26" s="261"/>
      <c r="B26" s="153"/>
      <c r="C26" s="153"/>
      <c r="D26" s="263"/>
      <c r="E26" s="313"/>
      <c r="F26" s="262"/>
    </row>
    <row r="27" spans="1:6" ht="12.75">
      <c r="A27" s="253" t="s">
        <v>126</v>
      </c>
      <c r="B27" s="153"/>
      <c r="C27" s="153"/>
      <c r="D27" s="263"/>
      <c r="E27" s="313"/>
      <c r="F27" s="262"/>
    </row>
    <row r="28" spans="1:6" ht="12.75">
      <c r="A28" s="321" t="s">
        <v>455</v>
      </c>
      <c r="B28" s="153">
        <f>'Table 3.12-Form3579 Costs'!L7</f>
        <v>0.45374866737056396</v>
      </c>
      <c r="C28" s="315" t="s">
        <v>239</v>
      </c>
      <c r="D28" s="263"/>
      <c r="E28" s="313"/>
      <c r="F28" s="262"/>
    </row>
    <row r="29" spans="1:6" ht="12.75">
      <c r="A29" s="321" t="s">
        <v>318</v>
      </c>
      <c r="B29" s="153">
        <f>'Table 3.12-Form3579 Costs'!L8</f>
        <v>0.33204443261501376</v>
      </c>
      <c r="C29" s="315" t="s">
        <v>239</v>
      </c>
      <c r="D29" s="263"/>
      <c r="E29" s="313"/>
      <c r="F29" s="262"/>
    </row>
    <row r="30" spans="1:6" ht="12.75">
      <c r="A30" s="257" t="s">
        <v>121</v>
      </c>
      <c r="B30" s="153">
        <f>'Table 3.12-Form3579 Costs'!L9</f>
        <v>0.034548906379125395</v>
      </c>
      <c r="C30" s="315" t="s">
        <v>239</v>
      </c>
      <c r="D30" s="263"/>
      <c r="E30" s="313"/>
      <c r="F30" s="262"/>
    </row>
    <row r="31" spans="1:6" ht="12.75">
      <c r="A31" s="257" t="s">
        <v>122</v>
      </c>
      <c r="B31" s="153">
        <f>'Table 3.12-Form3579 Costs'!L10</f>
        <v>0.09998282254199535</v>
      </c>
      <c r="C31" s="315" t="s">
        <v>239</v>
      </c>
      <c r="D31" s="263"/>
      <c r="E31" s="313"/>
      <c r="F31" s="262"/>
    </row>
    <row r="32" spans="1:6" ht="12.75">
      <c r="A32" s="257" t="s">
        <v>123</v>
      </c>
      <c r="B32" s="153">
        <f>'Table 3.12-Form3579 Costs'!L11</f>
        <v>0.0037272755648637534</v>
      </c>
      <c r="C32" s="315" t="s">
        <v>239</v>
      </c>
      <c r="D32" s="263"/>
      <c r="E32" s="313"/>
      <c r="F32" s="262"/>
    </row>
    <row r="33" spans="1:6" ht="12.75">
      <c r="A33" s="253" t="s">
        <v>127</v>
      </c>
      <c r="B33" s="154">
        <f>SUM(B28:B32)</f>
        <v>0.9240521044715623</v>
      </c>
      <c r="C33" s="154"/>
      <c r="D33" s="263">
        <v>1</v>
      </c>
      <c r="E33" s="313"/>
      <c r="F33" s="260">
        <f>B33*D33</f>
        <v>0.9240521044715623</v>
      </c>
    </row>
    <row r="34" spans="1:6" ht="12.75">
      <c r="A34" s="257"/>
      <c r="B34" s="153"/>
      <c r="C34" s="153"/>
      <c r="D34" s="255"/>
      <c r="E34" s="311"/>
      <c r="F34" s="262"/>
    </row>
    <row r="35" spans="1:6" ht="12.75">
      <c r="A35" s="591" t="s">
        <v>10</v>
      </c>
      <c r="B35" s="266"/>
      <c r="C35" s="266"/>
      <c r="D35" s="267"/>
      <c r="E35" s="267"/>
      <c r="F35" s="268">
        <f>(F25*'Table 3.37-Notice Inputs'!B17+F33*'Table 3.37-Notice Inputs'!B21)/SUM('Table 3.37-Notice Inputs'!B17,'Table 3.37-Notice Inputs'!B21)</f>
        <v>0.5249796982163502</v>
      </c>
    </row>
    <row r="36" spans="1:6" ht="12.75" hidden="1">
      <c r="A36" s="27"/>
      <c r="B36" s="35"/>
      <c r="C36" s="35"/>
      <c r="D36" s="35"/>
      <c r="E36" s="35"/>
      <c r="F36" s="27"/>
    </row>
    <row r="37" spans="2:6" ht="12.75" hidden="1">
      <c r="B37" s="35"/>
      <c r="C37" s="35"/>
      <c r="D37" s="35"/>
      <c r="E37" s="408" t="s">
        <v>188</v>
      </c>
      <c r="F37" s="143">
        <f>F25-'Table 3.11-Form3547 Costs'!P69</f>
        <v>0</v>
      </c>
    </row>
    <row r="38" spans="1:6" ht="12.75" hidden="1">
      <c r="A38" s="27"/>
      <c r="B38" s="35"/>
      <c r="C38" s="35"/>
      <c r="D38" s="35"/>
      <c r="E38" s="408" t="s">
        <v>188</v>
      </c>
      <c r="F38" s="143">
        <f>F33-'Table 3.12-Form3579 Costs'!P12</f>
        <v>0</v>
      </c>
    </row>
    <row r="39" spans="1:6" ht="12.75" hidden="1">
      <c r="A39" s="27"/>
      <c r="B39" s="35"/>
      <c r="C39" s="35"/>
      <c r="D39" s="35"/>
      <c r="E39" s="408" t="s">
        <v>188</v>
      </c>
      <c r="F39" s="143">
        <f>F35-'Table 3.1-UAA Summary'!M58</f>
        <v>0</v>
      </c>
    </row>
    <row r="40" spans="1:6" ht="12.75">
      <c r="A40" s="317"/>
      <c r="B40" s="318"/>
      <c r="C40" s="318"/>
      <c r="D40" s="35"/>
      <c r="E40" s="35"/>
      <c r="F40" s="27"/>
    </row>
    <row r="41" spans="1:6" ht="12.75">
      <c r="A41" s="27" t="s">
        <v>235</v>
      </c>
      <c r="B41" s="35"/>
      <c r="C41" s="35"/>
      <c r="D41" s="35"/>
      <c r="E41" s="35"/>
      <c r="F41" s="27"/>
    </row>
    <row r="42" spans="1:6" ht="12.75">
      <c r="A42" s="241" t="s">
        <v>480</v>
      </c>
      <c r="B42" s="35"/>
      <c r="C42" s="35"/>
      <c r="D42" s="35"/>
      <c r="E42" s="35"/>
      <c r="F42" s="27"/>
    </row>
    <row r="43" spans="1:6" ht="12.75">
      <c r="A43" s="241" t="s">
        <v>707</v>
      </c>
      <c r="B43" s="35"/>
      <c r="C43" s="35"/>
      <c r="D43" s="35"/>
      <c r="E43" s="35"/>
      <c r="F43" s="27"/>
    </row>
    <row r="44" ht="12.75">
      <c r="A44" s="12" t="s">
        <v>668</v>
      </c>
    </row>
  </sheetData>
  <sheetProtection/>
  <printOptions horizontalCentered="1"/>
  <pageMargins left="0.75" right="0.75" top="1" bottom="1" header="0.5" footer="0.5"/>
  <pageSetup fitToHeight="1" fitToWidth="1" horizontalDpi="600" verticalDpi="600" orientation="landscape" scale="93" r:id="rId1"/>
  <headerFooter alignWithMargins="0">
    <oddFooter>&amp;L&amp;F</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M34"/>
  <sheetViews>
    <sheetView zoomScale="70" zoomScaleNormal="70" zoomScalePageLayoutView="0" workbookViewId="0" topLeftCell="A1">
      <selection activeCell="A1" sqref="A1"/>
    </sheetView>
  </sheetViews>
  <sheetFormatPr defaultColWidth="9.140625" defaultRowHeight="12.75"/>
  <cols>
    <col min="1" max="1" width="25.28125" style="0" customWidth="1"/>
    <col min="2" max="5" width="10.7109375" style="0" customWidth="1"/>
    <col min="6" max="6" width="3.7109375" style="0" customWidth="1"/>
    <col min="7" max="9" width="10.7109375" style="0" customWidth="1"/>
    <col min="10" max="10" width="3.7109375" style="0" customWidth="1"/>
    <col min="11" max="13" width="10.7109375" style="0" customWidth="1"/>
  </cols>
  <sheetData>
    <row r="1" ht="15.75">
      <c r="A1" s="158" t="s">
        <v>721</v>
      </c>
    </row>
    <row r="2" ht="15.75">
      <c r="A2" s="158" t="s">
        <v>787</v>
      </c>
    </row>
    <row r="4" spans="2:13" ht="12.75">
      <c r="B4" s="469" t="s">
        <v>574</v>
      </c>
      <c r="C4" s="395"/>
      <c r="D4" s="395"/>
      <c r="E4" s="396"/>
      <c r="F4" s="18"/>
      <c r="G4" s="469" t="s">
        <v>479</v>
      </c>
      <c r="H4" s="395"/>
      <c r="I4" s="396"/>
      <c r="K4" s="469" t="s">
        <v>269</v>
      </c>
      <c r="L4" s="395"/>
      <c r="M4" s="396"/>
    </row>
    <row r="5" spans="2:13" ht="12.75">
      <c r="B5" s="472" t="s">
        <v>460</v>
      </c>
      <c r="C5" s="221" t="s">
        <v>459</v>
      </c>
      <c r="D5" s="221" t="s">
        <v>460</v>
      </c>
      <c r="E5" s="473" t="s">
        <v>461</v>
      </c>
      <c r="F5" s="18"/>
      <c r="G5" s="472"/>
      <c r="H5" s="221"/>
      <c r="I5" s="473"/>
      <c r="K5" s="472"/>
      <c r="L5" s="18"/>
      <c r="M5" s="369"/>
    </row>
    <row r="6" spans="1:13" ht="12.75">
      <c r="A6" s="283" t="s">
        <v>396</v>
      </c>
      <c r="B6" s="470" t="s">
        <v>462</v>
      </c>
      <c r="C6" s="451" t="s">
        <v>463</v>
      </c>
      <c r="D6" s="451" t="s">
        <v>464</v>
      </c>
      <c r="E6" s="471" t="s">
        <v>464</v>
      </c>
      <c r="F6" s="18"/>
      <c r="G6" s="475" t="s">
        <v>147</v>
      </c>
      <c r="H6" s="476" t="s">
        <v>344</v>
      </c>
      <c r="I6" s="394" t="s">
        <v>102</v>
      </c>
      <c r="K6" s="475" t="s">
        <v>147</v>
      </c>
      <c r="L6" s="476" t="s">
        <v>344</v>
      </c>
      <c r="M6" s="394" t="s">
        <v>102</v>
      </c>
    </row>
    <row r="7" ht="12.75">
      <c r="A7" s="16" t="s">
        <v>465</v>
      </c>
    </row>
    <row r="8" spans="1:13" ht="12.75">
      <c r="A8" s="353" t="s">
        <v>408</v>
      </c>
      <c r="B8" s="6">
        <v>201570.16932623013</v>
      </c>
      <c r="C8" s="6">
        <v>3023.552539893453</v>
      </c>
      <c r="D8" s="6">
        <v>67605.12301574764</v>
      </c>
      <c r="E8" s="6">
        <v>130941.49377058905</v>
      </c>
      <c r="F8" s="6"/>
      <c r="G8" s="6">
        <v>0</v>
      </c>
      <c r="H8" s="6">
        <v>73864.33973089085</v>
      </c>
      <c r="I8" s="6">
        <f>SUM(G8:H8)</f>
        <v>73864.33973089085</v>
      </c>
      <c r="J8" s="6"/>
      <c r="K8" s="6">
        <f>B8+G8</f>
        <v>201570.16932623013</v>
      </c>
      <c r="L8" s="6">
        <f>H8</f>
        <v>73864.33973089085</v>
      </c>
      <c r="M8" s="6">
        <f>SUM(K8:L8)</f>
        <v>275434.509057121</v>
      </c>
    </row>
    <row r="9" spans="1:13" ht="12.75">
      <c r="A9" s="353" t="s">
        <v>407</v>
      </c>
      <c r="B9" s="6">
        <v>1015288.7223382348</v>
      </c>
      <c r="C9" s="6">
        <v>50764.43611691175</v>
      </c>
      <c r="D9" s="6">
        <v>328420.51945836056</v>
      </c>
      <c r="E9" s="6">
        <v>636103.7667629626</v>
      </c>
      <c r="F9" s="6"/>
      <c r="G9" s="6">
        <v>0</v>
      </c>
      <c r="H9" s="6">
        <v>76979.52692331396</v>
      </c>
      <c r="I9" s="6">
        <f>SUM(G9:H9)</f>
        <v>76979.52692331396</v>
      </c>
      <c r="J9" s="6"/>
      <c r="K9" s="6">
        <f>B9+G9</f>
        <v>1015288.7223382348</v>
      </c>
      <c r="L9" s="6">
        <f>H9</f>
        <v>76979.52692331396</v>
      </c>
      <c r="M9" s="6">
        <f>SUM(K9:L9)</f>
        <v>1092268.2492615487</v>
      </c>
    </row>
    <row r="10" spans="1:13" ht="12.75">
      <c r="A10" s="353" t="s">
        <v>102</v>
      </c>
      <c r="B10" s="6">
        <f>SUM(B8:B9)</f>
        <v>1216858.891664465</v>
      </c>
      <c r="C10" s="6">
        <f>SUM(C8:C9)</f>
        <v>53787.9886568052</v>
      </c>
      <c r="D10" s="6">
        <f>SUM(D8:D9)</f>
        <v>396025.6424741082</v>
      </c>
      <c r="E10" s="6">
        <f>SUM(E8:E9)</f>
        <v>767045.2605335516</v>
      </c>
      <c r="F10" s="6"/>
      <c r="G10" s="6">
        <f>SUM(G8:G9)</f>
        <v>0</v>
      </c>
      <c r="H10" s="6">
        <f>SUM(H8:H9)</f>
        <v>150843.8666542048</v>
      </c>
      <c r="I10" s="6">
        <f>SUM(I8:I9)</f>
        <v>150843.8666542048</v>
      </c>
      <c r="J10" s="6"/>
      <c r="K10" s="6">
        <f>SUM(K8:K9)</f>
        <v>1216858.891664465</v>
      </c>
      <c r="L10" s="6">
        <f>SUM(L8:L9)</f>
        <v>150843.8666542048</v>
      </c>
      <c r="M10" s="6">
        <f>SUM(M8:M9)</f>
        <v>1367702.7583186696</v>
      </c>
    </row>
    <row r="11" spans="2:11" ht="12.75">
      <c r="B11" s="6"/>
      <c r="C11" s="6"/>
      <c r="D11" s="6"/>
      <c r="E11" s="6"/>
      <c r="F11" s="6"/>
      <c r="G11" s="6"/>
      <c r="H11" s="6"/>
      <c r="I11" s="6"/>
      <c r="J11" s="6"/>
      <c r="K11" s="6"/>
    </row>
    <row r="12" spans="1:13" ht="12.75">
      <c r="A12" s="16" t="s">
        <v>276</v>
      </c>
      <c r="B12" s="6">
        <v>0</v>
      </c>
      <c r="C12" s="6">
        <v>0</v>
      </c>
      <c r="D12" s="6">
        <v>0</v>
      </c>
      <c r="E12" s="6">
        <v>0</v>
      </c>
      <c r="F12" s="6"/>
      <c r="G12" s="6">
        <v>48398.468974467425</v>
      </c>
      <c r="H12" s="6">
        <v>4143.640482551247</v>
      </c>
      <c r="I12" s="6">
        <f>SUM(G12:H12)</f>
        <v>52542.10945701867</v>
      </c>
      <c r="J12" s="6"/>
      <c r="K12" s="6">
        <f>B12+G12</f>
        <v>48398.468974467425</v>
      </c>
      <c r="L12" s="6">
        <f>H12</f>
        <v>4143.640482551247</v>
      </c>
      <c r="M12" s="6">
        <f>SUM(K12:L12)</f>
        <v>52542.10945701867</v>
      </c>
    </row>
    <row r="13" spans="2:11" ht="12.75">
      <c r="B13" s="6"/>
      <c r="C13" s="6"/>
      <c r="D13" s="6"/>
      <c r="E13" s="6"/>
      <c r="F13" s="6"/>
      <c r="G13" s="6"/>
      <c r="H13" s="6"/>
      <c r="I13" s="6"/>
      <c r="J13" s="6"/>
      <c r="K13" s="6"/>
    </row>
    <row r="14" spans="1:11" ht="12.75">
      <c r="A14" s="16" t="s">
        <v>466</v>
      </c>
      <c r="B14" s="6"/>
      <c r="C14" s="6"/>
      <c r="D14" s="6"/>
      <c r="E14" s="6"/>
      <c r="F14" s="6"/>
      <c r="G14" s="6"/>
      <c r="H14" s="6"/>
      <c r="I14" s="6"/>
      <c r="J14" s="6"/>
      <c r="K14" s="6"/>
    </row>
    <row r="15" spans="1:13" ht="12.75">
      <c r="A15" s="353" t="s">
        <v>408</v>
      </c>
      <c r="B15" s="6">
        <v>279590.90333937074</v>
      </c>
      <c r="C15" s="6">
        <v>4193.86355009056</v>
      </c>
      <c r="D15" s="6">
        <v>108860.01115810184</v>
      </c>
      <c r="E15" s="6">
        <v>166537.0286311783</v>
      </c>
      <c r="F15" s="6"/>
      <c r="G15" s="6">
        <v>0</v>
      </c>
      <c r="H15" s="6">
        <v>63991.33722266703</v>
      </c>
      <c r="I15" s="6">
        <f>SUM(G15:H15)</f>
        <v>63991.33722266703</v>
      </c>
      <c r="J15" s="6"/>
      <c r="K15" s="6">
        <f>B15+G15</f>
        <v>279590.90333937074</v>
      </c>
      <c r="L15" s="6">
        <f>H15</f>
        <v>63991.33722266703</v>
      </c>
      <c r="M15" s="6">
        <f>SUM(K15:L15)</f>
        <v>343582.2405620378</v>
      </c>
    </row>
    <row r="16" spans="1:13" ht="12.75">
      <c r="A16" s="353" t="s">
        <v>407</v>
      </c>
      <c r="B16" s="6">
        <v>1002923.4535362568</v>
      </c>
      <c r="C16" s="6">
        <v>50146.17267681284</v>
      </c>
      <c r="D16" s="6">
        <v>379565.37747656205</v>
      </c>
      <c r="E16" s="6">
        <v>573211.903382882</v>
      </c>
      <c r="F16" s="6"/>
      <c r="G16" s="6">
        <v>22352.298662758072</v>
      </c>
      <c r="H16" s="6">
        <v>44791.40606845537</v>
      </c>
      <c r="I16" s="6">
        <f>SUM(G16:H16)</f>
        <v>67143.70473121344</v>
      </c>
      <c r="J16" s="6"/>
      <c r="K16" s="6">
        <f>B16+G16</f>
        <v>1025275.7521990149</v>
      </c>
      <c r="L16" s="6">
        <f>H16</f>
        <v>44791.40606845537</v>
      </c>
      <c r="M16" s="6">
        <f>SUM(K16:L16)</f>
        <v>1070067.1582674703</v>
      </c>
    </row>
    <row r="17" spans="1:13" ht="12.75">
      <c r="A17" s="353" t="s">
        <v>102</v>
      </c>
      <c r="B17" s="6">
        <f>SUM(B15:B16)</f>
        <v>1282514.3568756275</v>
      </c>
      <c r="C17" s="6">
        <f>SUM(C15:C16)</f>
        <v>54340.0362269034</v>
      </c>
      <c r="D17" s="6">
        <f>SUM(D15:D16)</f>
        <v>488425.3886346639</v>
      </c>
      <c r="E17" s="6">
        <f>SUM(E15:E16)</f>
        <v>739748.9320140603</v>
      </c>
      <c r="F17" s="6"/>
      <c r="G17" s="6">
        <f>SUM(G15:G16)</f>
        <v>22352.298662758072</v>
      </c>
      <c r="H17" s="6">
        <f>SUM(H15:H16)</f>
        <v>108782.7432911224</v>
      </c>
      <c r="I17" s="6">
        <f>SUM(I15:I16)</f>
        <v>131135.04195388046</v>
      </c>
      <c r="J17" s="6"/>
      <c r="K17" s="6">
        <f>SUM(K15:K16)</f>
        <v>1304866.6555383857</v>
      </c>
      <c r="L17" s="6">
        <f>SUM(L15:L16)</f>
        <v>108782.7432911224</v>
      </c>
      <c r="M17" s="6">
        <f>SUM(M15:M16)</f>
        <v>1413649.398829508</v>
      </c>
    </row>
    <row r="18" spans="2:11" ht="12.75">
      <c r="B18" s="6"/>
      <c r="C18" s="6"/>
      <c r="D18" s="6"/>
      <c r="E18" s="6"/>
      <c r="F18" s="6"/>
      <c r="G18" s="6"/>
      <c r="H18" s="6"/>
      <c r="I18" s="6"/>
      <c r="J18" s="6"/>
      <c r="K18" s="6"/>
    </row>
    <row r="19" spans="1:11" ht="12.75">
      <c r="A19" s="49" t="s">
        <v>467</v>
      </c>
      <c r="B19" s="6"/>
      <c r="C19" s="6"/>
      <c r="D19" s="6"/>
      <c r="E19" s="6"/>
      <c r="F19" s="6"/>
      <c r="G19" s="6"/>
      <c r="H19" s="6"/>
      <c r="I19" s="6"/>
      <c r="J19" s="6"/>
      <c r="K19" s="6"/>
    </row>
    <row r="20" spans="1:13" ht="12.75">
      <c r="A20" s="353" t="s">
        <v>408</v>
      </c>
      <c r="B20" s="6">
        <v>0</v>
      </c>
      <c r="C20" s="6">
        <v>0</v>
      </c>
      <c r="D20" s="6">
        <v>0</v>
      </c>
      <c r="E20" s="6">
        <v>0</v>
      </c>
      <c r="F20" s="6"/>
      <c r="G20" s="6">
        <v>0</v>
      </c>
      <c r="H20" s="6">
        <v>0</v>
      </c>
      <c r="I20" s="6">
        <f>SUM(G20:H20)</f>
        <v>0</v>
      </c>
      <c r="J20" s="6"/>
      <c r="K20" s="6">
        <f>B20+G20</f>
        <v>0</v>
      </c>
      <c r="L20" s="6">
        <f>H20</f>
        <v>0</v>
      </c>
      <c r="M20" s="6">
        <f>SUM(K20:L20)</f>
        <v>0</v>
      </c>
    </row>
    <row r="21" spans="1:13" ht="12.75">
      <c r="A21" s="353" t="s">
        <v>407</v>
      </c>
      <c r="B21" s="6">
        <v>592552.0164599075</v>
      </c>
      <c r="C21" s="6">
        <v>29627.60082299538</v>
      </c>
      <c r="D21" s="6">
        <v>225169.76625476487</v>
      </c>
      <c r="E21" s="6">
        <v>337754.64938214724</v>
      </c>
      <c r="F21" s="6"/>
      <c r="G21" s="6">
        <v>2350780.4522104776</v>
      </c>
      <c r="H21" s="6">
        <v>699770.8698134009</v>
      </c>
      <c r="I21" s="6">
        <f>SUM(G21:H21)</f>
        <v>3050551.3220238783</v>
      </c>
      <c r="J21" s="6"/>
      <c r="K21" s="6">
        <f>B21+G21</f>
        <v>2943332.468670385</v>
      </c>
      <c r="L21" s="6">
        <f>H21</f>
        <v>699770.8698134009</v>
      </c>
      <c r="M21" s="6">
        <f>SUM(K21:L21)</f>
        <v>3643103.3384837857</v>
      </c>
    </row>
    <row r="22" spans="1:13" ht="12.75">
      <c r="A22" s="353" t="s">
        <v>102</v>
      </c>
      <c r="B22" s="6">
        <f>SUM(B20:B21)</f>
        <v>592552.0164599075</v>
      </c>
      <c r="C22" s="6">
        <f>SUM(C20:C21)</f>
        <v>29627.60082299538</v>
      </c>
      <c r="D22" s="6">
        <f>SUM(D20:D21)</f>
        <v>225169.76625476487</v>
      </c>
      <c r="E22" s="6">
        <f>SUM(E20:E21)</f>
        <v>337754.64938214724</v>
      </c>
      <c r="F22" s="6"/>
      <c r="G22" s="6">
        <f>SUM(G20:G21)</f>
        <v>2350780.4522104776</v>
      </c>
      <c r="H22" s="6">
        <f>SUM(H20:H21)</f>
        <v>699770.8698134009</v>
      </c>
      <c r="I22" s="6">
        <f>SUM(I20:I21)</f>
        <v>3050551.3220238783</v>
      </c>
      <c r="J22" s="6"/>
      <c r="K22" s="6">
        <f>SUM(K20:K21)</f>
        <v>2943332.468670385</v>
      </c>
      <c r="L22" s="6">
        <f>SUM(L20:L21)</f>
        <v>699770.8698134009</v>
      </c>
      <c r="M22" s="6">
        <f>SUM(M20:M21)</f>
        <v>3643103.3384837857</v>
      </c>
    </row>
    <row r="23" spans="2:11" ht="12.75">
      <c r="B23" s="6"/>
      <c r="C23" s="6"/>
      <c r="D23" s="6"/>
      <c r="E23" s="6"/>
      <c r="F23" s="6"/>
      <c r="G23" s="6"/>
      <c r="H23" s="6"/>
      <c r="I23" s="6"/>
      <c r="J23" s="6"/>
      <c r="K23" s="6"/>
    </row>
    <row r="24" spans="1:13" ht="12.75">
      <c r="A24" s="16" t="s">
        <v>419</v>
      </c>
      <c r="B24" s="6">
        <f>SUM(B10,B12,B17,B22)</f>
        <v>3091925.2649999997</v>
      </c>
      <c r="C24" s="6">
        <f>SUM(C10,C12,C17,C22)</f>
        <v>137755.62570670398</v>
      </c>
      <c r="D24" s="6">
        <f>SUM(D10,D12,D17,D22)</f>
        <v>1109620.797363537</v>
      </c>
      <c r="E24" s="6">
        <f>SUM(E10,E12,E17,E22)</f>
        <v>1844548.8419297591</v>
      </c>
      <c r="F24" s="6"/>
      <c r="G24" s="6">
        <f>SUM(G10,G12,G17,G22)</f>
        <v>2421531.219847703</v>
      </c>
      <c r="H24" s="6">
        <f>SUM(H10,H12,H17,H22)</f>
        <v>963541.1202412794</v>
      </c>
      <c r="I24" s="6">
        <f>SUM(I10,I12,I17,I22)</f>
        <v>3385072.340088982</v>
      </c>
      <c r="J24" s="6"/>
      <c r="K24" s="6">
        <f>SUM(K10,K12,K17,K22)</f>
        <v>5513456.484847703</v>
      </c>
      <c r="L24" s="6">
        <f>SUM(L10,L12,L17,L22)</f>
        <v>963541.1202412794</v>
      </c>
      <c r="M24" s="6">
        <f>SUM(M10,M12,M17,M22)</f>
        <v>6476997.605088983</v>
      </c>
    </row>
    <row r="25" ht="12.75" hidden="1"/>
    <row r="26" spans="1:9" ht="12.75" hidden="1">
      <c r="A26" t="s">
        <v>191</v>
      </c>
      <c r="C26" s="143">
        <f>C8-'Table 3.19-CFS UAA'!B47</f>
        <v>0</v>
      </c>
      <c r="G26" s="143">
        <f>G12-SUM('Table 3.30-UAA MP Cost'!B11:B12)</f>
        <v>0</v>
      </c>
      <c r="H26" s="143">
        <v>0</v>
      </c>
      <c r="I26" s="27"/>
    </row>
    <row r="27" spans="3:8" ht="12.75" hidden="1">
      <c r="C27" s="143">
        <f>C9-'Table 3.19-CFS UAA'!B46+'Table 3.19-CFS UAA'!B47</f>
        <v>-1.000444171950221E-11</v>
      </c>
      <c r="G27" s="143">
        <f>G17-SUM('Table 3.30-UAA MP Cost'!B27:B28)</f>
        <v>0</v>
      </c>
      <c r="H27" s="143">
        <v>0</v>
      </c>
    </row>
    <row r="28" spans="3:8" ht="12.75" hidden="1">
      <c r="C28" s="143">
        <f>C15-'Table 3.19-CFS UAA'!B60</f>
        <v>0</v>
      </c>
      <c r="G28" s="143">
        <v>0</v>
      </c>
      <c r="H28" s="143">
        <v>0</v>
      </c>
    </row>
    <row r="29" spans="3:8" ht="12.75" hidden="1">
      <c r="C29" s="143">
        <f>C16-'Table 3.18-Nixie UAA'!D33</f>
        <v>0</v>
      </c>
      <c r="G29" s="6"/>
      <c r="H29" s="143">
        <v>0</v>
      </c>
    </row>
    <row r="30" spans="2:8" ht="12.75" hidden="1">
      <c r="B30" s="143">
        <f>B24-'Table 3.23-CIOSS Summary'!C14</f>
        <v>0</v>
      </c>
      <c r="C30" s="143">
        <f>C21-'Table 3.18-Nixie UAA'!D37</f>
        <v>0</v>
      </c>
      <c r="D30" s="143">
        <f>D24-'Table 3.28-REC Volume'!G40</f>
        <v>0</v>
      </c>
      <c r="E30" s="143">
        <f>E24-'Table 3.28-REC Volume'!H40</f>
        <v>0</v>
      </c>
      <c r="G30" s="143">
        <v>0</v>
      </c>
      <c r="H30" s="143">
        <v>0</v>
      </c>
    </row>
    <row r="31" spans="1:4" ht="12.75">
      <c r="A31" s="283"/>
      <c r="B31" s="283"/>
      <c r="C31" s="283"/>
      <c r="D31" s="283"/>
    </row>
    <row r="32" ht="12.75">
      <c r="A32" s="27" t="s">
        <v>235</v>
      </c>
    </row>
    <row r="33" ht="12.75">
      <c r="A33" s="12" t="s">
        <v>669</v>
      </c>
    </row>
    <row r="34" ht="12.75">
      <c r="A34" t="s">
        <v>670</v>
      </c>
    </row>
  </sheetData>
  <sheetProtection/>
  <printOptions horizontalCentered="1"/>
  <pageMargins left="0.75" right="0.75" top="1" bottom="1" header="0.5" footer="0.5"/>
  <pageSetup fitToHeight="1" fitToWidth="1" horizontalDpi="600" verticalDpi="600" orientation="landscape" scale="88" r:id="rId1"/>
  <headerFooter alignWithMargins="0">
    <oddFooter>&amp;L&amp;F</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AA46"/>
  <sheetViews>
    <sheetView zoomScale="70" zoomScaleNormal="70" zoomScalePageLayoutView="0" workbookViewId="0" topLeftCell="A1">
      <selection activeCell="A1" sqref="A1"/>
    </sheetView>
  </sheetViews>
  <sheetFormatPr defaultColWidth="9.140625" defaultRowHeight="12.75"/>
  <cols>
    <col min="1" max="1" width="31.140625" style="0" customWidth="1"/>
    <col min="2" max="2" width="10.7109375" style="0" customWidth="1"/>
    <col min="3" max="3" width="2.7109375" style="0" customWidth="1"/>
    <col min="4" max="4" width="10.140625" style="0" customWidth="1"/>
    <col min="5" max="5" width="2.7109375" style="0" customWidth="1"/>
    <col min="6" max="6" width="12.57421875" style="0" customWidth="1"/>
    <col min="7" max="7" width="2.7109375" style="0" customWidth="1"/>
    <col min="8" max="8" width="10.7109375" style="0" customWidth="1"/>
    <col min="9" max="9" width="2.7109375" style="0" customWidth="1"/>
    <col min="10" max="10" width="10.140625" style="0" customWidth="1"/>
    <col min="11" max="11" width="2.7109375" style="0" customWidth="1"/>
    <col min="12" max="12" width="12.57421875" style="0" customWidth="1"/>
    <col min="13" max="13" width="2.7109375" style="0" customWidth="1"/>
    <col min="14" max="14" width="10.7109375" style="0" customWidth="1"/>
    <col min="15" max="15" width="2.7109375" style="0" customWidth="1"/>
    <col min="16" max="16" width="10.140625" style="0" customWidth="1"/>
    <col min="17" max="17" width="2.7109375" style="0" customWidth="1"/>
    <col min="18" max="18" width="12.57421875" style="0" customWidth="1"/>
  </cols>
  <sheetData>
    <row r="1" spans="1:6" ht="15.75">
      <c r="A1" s="158" t="s">
        <v>766</v>
      </c>
      <c r="B1" s="320"/>
      <c r="C1" s="320"/>
      <c r="D1" s="320"/>
      <c r="E1" s="320"/>
      <c r="F1" s="320"/>
    </row>
    <row r="2" spans="1:6" ht="16.5" thickBot="1">
      <c r="A2" s="158" t="s">
        <v>787</v>
      </c>
      <c r="B2" s="320"/>
      <c r="C2" s="320"/>
      <c r="D2" s="320"/>
      <c r="E2" s="320"/>
      <c r="F2" s="320"/>
    </row>
    <row r="3" spans="1:18" ht="13.5" thickBot="1">
      <c r="A3" s="17"/>
      <c r="B3" s="418" t="s">
        <v>270</v>
      </c>
      <c r="C3" s="419"/>
      <c r="D3" s="419"/>
      <c r="E3" s="420"/>
      <c r="F3" s="421"/>
      <c r="H3" s="418" t="s">
        <v>147</v>
      </c>
      <c r="I3" s="419"/>
      <c r="J3" s="419"/>
      <c r="K3" s="420"/>
      <c r="L3" s="421"/>
      <c r="N3" s="418" t="s">
        <v>344</v>
      </c>
      <c r="O3" s="419"/>
      <c r="P3" s="419"/>
      <c r="Q3" s="420"/>
      <c r="R3" s="421"/>
    </row>
    <row r="4" spans="2:18" ht="12.75">
      <c r="B4" s="416" t="s">
        <v>128</v>
      </c>
      <c r="C4" s="23"/>
      <c r="D4" s="4"/>
      <c r="E4" s="4"/>
      <c r="F4" s="417" t="s">
        <v>117</v>
      </c>
      <c r="H4" s="416" t="s">
        <v>128</v>
      </c>
      <c r="I4" s="23"/>
      <c r="J4" s="4"/>
      <c r="K4" s="4"/>
      <c r="L4" s="417" t="s">
        <v>117</v>
      </c>
      <c r="N4" s="416" t="s">
        <v>128</v>
      </c>
      <c r="O4" s="23"/>
      <c r="P4" s="4"/>
      <c r="Q4" s="4"/>
      <c r="R4" s="417" t="s">
        <v>117</v>
      </c>
    </row>
    <row r="5" spans="2:18" ht="12.75">
      <c r="B5" s="229" t="s">
        <v>104</v>
      </c>
      <c r="C5" s="319"/>
      <c r="D5" s="156" t="s">
        <v>97</v>
      </c>
      <c r="E5" s="156"/>
      <c r="F5" s="231" t="s">
        <v>104</v>
      </c>
      <c r="H5" s="229" t="s">
        <v>104</v>
      </c>
      <c r="I5" s="319"/>
      <c r="J5" s="156" t="s">
        <v>97</v>
      </c>
      <c r="K5" s="156"/>
      <c r="L5" s="231" t="s">
        <v>104</v>
      </c>
      <c r="N5" s="229" t="s">
        <v>104</v>
      </c>
      <c r="O5" s="319"/>
      <c r="P5" s="156" t="s">
        <v>97</v>
      </c>
      <c r="Q5" s="156"/>
      <c r="R5" s="231" t="s">
        <v>104</v>
      </c>
    </row>
    <row r="6" spans="1:18" ht="12.75">
      <c r="A6" s="422" t="s">
        <v>129</v>
      </c>
      <c r="B6" s="269"/>
      <c r="C6" s="269"/>
      <c r="D6" s="270"/>
      <c r="E6" s="270"/>
      <c r="F6" s="271"/>
      <c r="H6" s="269"/>
      <c r="I6" s="269"/>
      <c r="J6" s="270"/>
      <c r="K6" s="270"/>
      <c r="L6" s="271"/>
      <c r="N6" s="269"/>
      <c r="O6" s="269"/>
      <c r="P6" s="270"/>
      <c r="Q6" s="270"/>
      <c r="R6" s="271"/>
    </row>
    <row r="7" spans="1:18" ht="12.75">
      <c r="A7" s="415" t="s">
        <v>470</v>
      </c>
      <c r="B7" s="478"/>
      <c r="C7" s="478"/>
      <c r="D7" s="257"/>
      <c r="E7" s="257"/>
      <c r="F7" s="153"/>
      <c r="H7" s="478"/>
      <c r="I7" s="478"/>
      <c r="J7" s="257"/>
      <c r="K7" s="257"/>
      <c r="L7" s="153"/>
      <c r="N7" s="478"/>
      <c r="O7" s="478"/>
      <c r="P7" s="257"/>
      <c r="Q7" s="257"/>
      <c r="R7" s="153"/>
    </row>
    <row r="8" spans="1:18" ht="12.75">
      <c r="A8" s="479" t="s">
        <v>472</v>
      </c>
      <c r="B8" s="153">
        <v>0</v>
      </c>
      <c r="C8" s="315"/>
      <c r="D8" s="558">
        <v>0</v>
      </c>
      <c r="E8" s="315"/>
      <c r="F8" s="153">
        <f>B8*D8</f>
        <v>0</v>
      </c>
      <c r="H8" s="153">
        <v>0</v>
      </c>
      <c r="I8" s="315"/>
      <c r="J8" s="558">
        <v>0</v>
      </c>
      <c r="K8" s="315"/>
      <c r="L8" s="153">
        <f>H8*J8</f>
        <v>0</v>
      </c>
      <c r="N8" s="153">
        <v>0</v>
      </c>
      <c r="O8" s="315"/>
      <c r="P8" s="558">
        <v>0</v>
      </c>
      <c r="Q8" s="315"/>
      <c r="R8" s="153">
        <f>N8*P8</f>
        <v>0</v>
      </c>
    </row>
    <row r="9" spans="1:18" ht="12.75">
      <c r="A9" s="479" t="s">
        <v>473</v>
      </c>
      <c r="B9" s="153">
        <f>SUM('Table 3.19-CFS UAA'!J44,'Table 3.19-CFS UAA'!J13)/SUM('Table 3.19-CFS UAA'!B44,'Table 3.19-CFS UAA'!B13)</f>
        <v>0.43498000679491267</v>
      </c>
      <c r="C9" s="315" t="s">
        <v>236</v>
      </c>
      <c r="D9" s="558">
        <f>('Table 3.42-Vol Flows'!C8+'Table 3.42-Vol Flows'!H8)/('Table 3.42-Vol Flows'!M8)</f>
        <v>0.2791512673338942</v>
      </c>
      <c r="E9" s="315" t="s">
        <v>239</v>
      </c>
      <c r="F9" s="153">
        <f>B9*D9</f>
        <v>0.12142522016170579</v>
      </c>
      <c r="H9" s="153">
        <f>'Table 3.19-CFS UAA'!K44</f>
        <v>0.43498000679491267</v>
      </c>
      <c r="I9" s="315" t="s">
        <v>236</v>
      </c>
      <c r="J9" s="558">
        <f>'Table 3.42-Vol Flows'!C8/'Table 3.42-Vol Flows'!K8</f>
        <v>0.015000000000000005</v>
      </c>
      <c r="K9" s="315" t="s">
        <v>239</v>
      </c>
      <c r="L9" s="153">
        <f>H9*J9</f>
        <v>0.006524700101923692</v>
      </c>
      <c r="N9" s="153">
        <f>'Table 3.19-CFS UAA'!K13</f>
        <v>0.43498000679491267</v>
      </c>
      <c r="O9" s="315" t="s">
        <v>236</v>
      </c>
      <c r="P9" s="558">
        <f>'Table 3.42-Vol Flows'!H8/'Table 3.42-Vol Flows'!L8</f>
        <v>1</v>
      </c>
      <c r="Q9" s="315" t="s">
        <v>239</v>
      </c>
      <c r="R9" s="153">
        <f>N9*P9</f>
        <v>0.43498000679491267</v>
      </c>
    </row>
    <row r="10" spans="1:18" ht="12.75">
      <c r="A10" s="415"/>
      <c r="B10" s="153"/>
      <c r="C10" s="315"/>
      <c r="D10" s="558"/>
      <c r="E10" s="315"/>
      <c r="F10" s="153"/>
      <c r="H10" s="153"/>
      <c r="I10" s="315"/>
      <c r="J10" s="558"/>
      <c r="K10" s="315"/>
      <c r="L10" s="153"/>
      <c r="N10" s="153"/>
      <c r="O10" s="315"/>
      <c r="P10" s="558"/>
      <c r="Q10" s="315"/>
      <c r="R10" s="153"/>
    </row>
    <row r="11" spans="1:18" ht="12.75">
      <c r="A11" s="415" t="s">
        <v>459</v>
      </c>
      <c r="B11" s="153"/>
      <c r="C11" s="315"/>
      <c r="D11" s="558"/>
      <c r="E11" s="315"/>
      <c r="F11" s="153"/>
      <c r="H11" s="477"/>
      <c r="I11" s="315"/>
      <c r="J11" s="558"/>
      <c r="K11" s="315"/>
      <c r="L11" s="153"/>
      <c r="N11" s="153"/>
      <c r="O11" s="315"/>
      <c r="P11" s="558"/>
      <c r="Q11" s="315"/>
      <c r="R11" s="153"/>
    </row>
    <row r="12" spans="1:18" ht="12.75">
      <c r="A12" s="474" t="s">
        <v>468</v>
      </c>
      <c r="B12" s="153">
        <f>H12</f>
        <v>0</v>
      </c>
      <c r="C12" s="315"/>
      <c r="D12" s="558">
        <f>'Table 3.42-Vol Flows'!D8/'Table 3.42-Vol Flows'!M8</f>
        <v>0.245448993472809</v>
      </c>
      <c r="E12" s="315" t="s">
        <v>239</v>
      </c>
      <c r="F12" s="153">
        <f>B12*D12</f>
        <v>0</v>
      </c>
      <c r="H12" s="153">
        <v>0</v>
      </c>
      <c r="I12" s="315"/>
      <c r="J12" s="558">
        <f>'Table 3.42-Vol Flows'!D8/'Table 3.42-Vol Flows'!K8</f>
        <v>0.3353925</v>
      </c>
      <c r="K12" s="315" t="s">
        <v>239</v>
      </c>
      <c r="L12" s="153">
        <f>H12*J12</f>
        <v>0</v>
      </c>
      <c r="N12" s="153">
        <v>0</v>
      </c>
      <c r="O12" s="315"/>
      <c r="P12" s="558">
        <v>0</v>
      </c>
      <c r="Q12" s="315"/>
      <c r="R12" s="153">
        <f>N12*P12</f>
        <v>0</v>
      </c>
    </row>
    <row r="13" spans="1:18" ht="12.75">
      <c r="A13" s="474" t="s">
        <v>469</v>
      </c>
      <c r="B13" s="153">
        <f>H13</f>
        <v>0.05170331462382573</v>
      </c>
      <c r="C13" s="315" t="s">
        <v>238</v>
      </c>
      <c r="D13" s="558">
        <f>'Table 3.42-Vol Flows'!E8/'Table 3.42-Vol Flows'!M8</f>
        <v>0.4753997391932967</v>
      </c>
      <c r="E13" s="315" t="s">
        <v>239</v>
      </c>
      <c r="F13" s="153">
        <f>B13*D13</f>
        <v>0.024579742287595713</v>
      </c>
      <c r="H13" s="153">
        <f>'Table 3.27-REC Detail ACS'!L49</f>
        <v>0.05170331462382573</v>
      </c>
      <c r="I13" s="315" t="s">
        <v>238</v>
      </c>
      <c r="J13" s="558">
        <f>'Table 3.42-Vol Flows'!E8/'Table 3.42-Vol Flows'!K8</f>
        <v>0.6496075</v>
      </c>
      <c r="K13" s="315" t="s">
        <v>239</v>
      </c>
      <c r="L13" s="153">
        <f>H13*J13</f>
        <v>0.033586860954496874</v>
      </c>
      <c r="N13" s="153">
        <v>0</v>
      </c>
      <c r="O13" s="315"/>
      <c r="P13" s="558">
        <v>0</v>
      </c>
      <c r="Q13" s="315"/>
      <c r="R13" s="153">
        <f>N13*P13</f>
        <v>0</v>
      </c>
    </row>
    <row r="14" spans="1:18" ht="12.75">
      <c r="A14" s="474"/>
      <c r="B14" s="153"/>
      <c r="C14" s="315"/>
      <c r="D14" s="558"/>
      <c r="E14" s="315"/>
      <c r="F14" s="153"/>
      <c r="H14" s="153"/>
      <c r="I14" s="315"/>
      <c r="J14" s="558"/>
      <c r="K14" s="315"/>
      <c r="L14" s="153"/>
      <c r="N14" s="153"/>
      <c r="O14" s="315"/>
      <c r="P14" s="558"/>
      <c r="Q14" s="315"/>
      <c r="R14" s="153"/>
    </row>
    <row r="15" spans="1:18" ht="12.75">
      <c r="A15" s="257"/>
      <c r="B15" s="153"/>
      <c r="C15" s="153"/>
      <c r="D15" s="558"/>
      <c r="E15" s="272"/>
      <c r="F15" s="153">
        <f>SUM(F8:F13)</f>
        <v>0.1460049624493015</v>
      </c>
      <c r="H15" s="153"/>
      <c r="I15" s="153"/>
      <c r="J15" s="558"/>
      <c r="K15" s="272"/>
      <c r="L15" s="153">
        <f>SUM(L8:L13)</f>
        <v>0.04011156105642057</v>
      </c>
      <c r="N15" s="153"/>
      <c r="O15" s="153"/>
      <c r="P15" s="558"/>
      <c r="Q15" s="272"/>
      <c r="R15" s="153">
        <f>SUM(R8:R13)</f>
        <v>0.43498000679491267</v>
      </c>
    </row>
    <row r="16" spans="1:18" ht="12.75">
      <c r="A16" s="423" t="s">
        <v>342</v>
      </c>
      <c r="B16" s="153"/>
      <c r="C16" s="153"/>
      <c r="D16" s="558"/>
      <c r="E16" s="272"/>
      <c r="F16" s="153"/>
      <c r="H16" s="153"/>
      <c r="I16" s="153"/>
      <c r="J16" s="558"/>
      <c r="K16" s="272"/>
      <c r="L16" s="153"/>
      <c r="N16" s="153"/>
      <c r="O16" s="153"/>
      <c r="P16" s="558"/>
      <c r="Q16" s="272"/>
      <c r="R16" s="153"/>
    </row>
    <row r="17" spans="1:18" ht="12.75">
      <c r="A17" s="415" t="s">
        <v>767</v>
      </c>
      <c r="B17" s="153">
        <f>N17</f>
        <v>0.34009737226220754</v>
      </c>
      <c r="C17" s="153"/>
      <c r="D17" s="558">
        <f>'Table 3.42-Vol Flows'!H15/'Table 3.42-Vol Flows'!M15</f>
        <v>0.18624751127412434</v>
      </c>
      <c r="E17" s="272"/>
      <c r="F17" s="153">
        <f>B17*D17</f>
        <v>0.06334228917470557</v>
      </c>
      <c r="H17" s="153">
        <f>IF(SUM('Table 3.18-Nixie UAA'!D17:D18)&lt;&gt;0,SUM('Table 3.18-Nixie UAA'!I17:I18)/SUM('Table 3.18-Nixie UAA'!D17:D18),0)</f>
        <v>0</v>
      </c>
      <c r="I17" s="315" t="s">
        <v>242</v>
      </c>
      <c r="J17" s="558">
        <v>1</v>
      </c>
      <c r="K17" s="272"/>
      <c r="L17" s="153">
        <f>H17*J17</f>
        <v>0</v>
      </c>
      <c r="N17" s="153">
        <f>IF(SUM('Table 3.18-Nixie UAA'!D26:D27)&lt;&gt;0,SUM('Table 3.18-Nixie UAA'!I26:I27)/SUM('Table 3.18-Nixie UAA'!D26:D27),0)</f>
        <v>0.34009737226220754</v>
      </c>
      <c r="O17" s="315" t="s">
        <v>242</v>
      </c>
      <c r="P17" s="558">
        <v>1</v>
      </c>
      <c r="Q17" s="272"/>
      <c r="R17" s="153">
        <f>N17*P17</f>
        <v>0.34009737226220754</v>
      </c>
    </row>
    <row r="18" spans="1:18" ht="12.75">
      <c r="A18" s="423"/>
      <c r="B18" s="153"/>
      <c r="C18" s="153"/>
      <c r="D18" s="558"/>
      <c r="E18" s="272"/>
      <c r="F18" s="153"/>
      <c r="H18" s="153"/>
      <c r="I18" s="153"/>
      <c r="J18" s="558"/>
      <c r="K18" s="272"/>
      <c r="L18" s="153"/>
      <c r="N18" s="153"/>
      <c r="O18" s="153"/>
      <c r="P18" s="558"/>
      <c r="Q18" s="272"/>
      <c r="R18" s="153"/>
    </row>
    <row r="19" spans="1:18" ht="12.75">
      <c r="A19" s="415" t="s">
        <v>470</v>
      </c>
      <c r="B19" s="153"/>
      <c r="C19" s="153"/>
      <c r="D19" s="558"/>
      <c r="E19" s="272"/>
      <c r="F19" s="153"/>
      <c r="H19" s="153"/>
      <c r="I19" s="153"/>
      <c r="J19" s="558"/>
      <c r="K19" s="272"/>
      <c r="L19" s="153"/>
      <c r="N19" s="153"/>
      <c r="O19" s="153"/>
      <c r="P19" s="558"/>
      <c r="Q19" s="272"/>
      <c r="R19" s="153"/>
    </row>
    <row r="20" spans="1:27" ht="12.75">
      <c r="A20" s="474" t="s">
        <v>130</v>
      </c>
      <c r="B20" s="153">
        <v>0</v>
      </c>
      <c r="C20" s="315"/>
      <c r="D20" s="558">
        <v>0</v>
      </c>
      <c r="E20" s="315"/>
      <c r="F20" s="153">
        <f>B20*D20</f>
        <v>0</v>
      </c>
      <c r="H20" s="153">
        <v>0</v>
      </c>
      <c r="I20" s="315"/>
      <c r="J20" s="558">
        <v>0</v>
      </c>
      <c r="K20" s="315"/>
      <c r="L20" s="153">
        <f>H20*J20</f>
        <v>0</v>
      </c>
      <c r="N20" s="153">
        <v>0</v>
      </c>
      <c r="O20" s="315"/>
      <c r="P20" s="558">
        <v>0</v>
      </c>
      <c r="Q20" s="315"/>
      <c r="R20" s="153">
        <f>N20*P20</f>
        <v>0</v>
      </c>
      <c r="U20" s="241"/>
      <c r="V20" s="27"/>
      <c r="W20" s="27"/>
      <c r="X20" s="27"/>
      <c r="Y20" s="27"/>
      <c r="Z20" s="27"/>
      <c r="AA20" s="27"/>
    </row>
    <row r="21" spans="1:18" ht="12.75">
      <c r="A21" s="474" t="s">
        <v>471</v>
      </c>
      <c r="B21" s="153">
        <f>SUM('Table 3.19-CFS UAA'!J26,'Table 3.19-CFS UAA'!J57)/SUM('Table 3.19-CFS UAA'!B26,'Table 3.19-CFS UAA'!B57)</f>
        <v>0.34914738480952223</v>
      </c>
      <c r="C21" s="315" t="s">
        <v>236</v>
      </c>
      <c r="D21" s="558">
        <f>('Table 3.42-Vol Flows'!C15+'Table 3.42-Vol Flows'!H15)/('Table 3.42-Vol Flows'!M15)</f>
        <v>0.19845379860501247</v>
      </c>
      <c r="E21" s="315" t="s">
        <v>239</v>
      </c>
      <c r="F21" s="153">
        <f>B21*D21</f>
        <v>0.06928962478845571</v>
      </c>
      <c r="H21" s="153">
        <f>'Table 3.19-CFS UAA'!K57</f>
        <v>0.34914738480952223</v>
      </c>
      <c r="I21" s="315" t="s">
        <v>236</v>
      </c>
      <c r="J21" s="558">
        <f>'Table 3.42-Vol Flows'!C15/'Table 3.42-Vol Flows'!K15</f>
        <v>0.014999999999999998</v>
      </c>
      <c r="K21" s="315" t="s">
        <v>239</v>
      </c>
      <c r="L21" s="153">
        <f>H21*J21</f>
        <v>0.005237210772142832</v>
      </c>
      <c r="N21" s="153">
        <f>'Table 3.19-CFS UAA'!K26</f>
        <v>0.34914738480952223</v>
      </c>
      <c r="O21" s="315" t="s">
        <v>236</v>
      </c>
      <c r="P21" s="558">
        <f>'Table 3.42-Vol Flows'!H15/'Table 3.42-Vol Flows'!L15</f>
        <v>1</v>
      </c>
      <c r="Q21" s="315" t="s">
        <v>239</v>
      </c>
      <c r="R21" s="153">
        <f>N21*P21</f>
        <v>0.34914738480952223</v>
      </c>
    </row>
    <row r="22" spans="1:18" ht="12.75">
      <c r="A22" s="415"/>
      <c r="B22" s="153"/>
      <c r="C22" s="315"/>
      <c r="D22" s="558"/>
      <c r="E22" s="315"/>
      <c r="F22" s="153"/>
      <c r="H22" s="153"/>
      <c r="I22" s="315"/>
      <c r="J22" s="558"/>
      <c r="K22" s="315"/>
      <c r="L22" s="153"/>
      <c r="N22" s="153"/>
      <c r="O22" s="315"/>
      <c r="P22" s="558"/>
      <c r="Q22" s="315"/>
      <c r="R22" s="153"/>
    </row>
    <row r="23" spans="1:18" ht="12.75">
      <c r="A23" s="415" t="s">
        <v>459</v>
      </c>
      <c r="B23" s="153"/>
      <c r="C23" s="315"/>
      <c r="D23" s="558"/>
      <c r="E23" s="315"/>
      <c r="F23" s="153"/>
      <c r="H23" s="153"/>
      <c r="I23" s="315"/>
      <c r="J23" s="558"/>
      <c r="K23" s="315"/>
      <c r="L23" s="153"/>
      <c r="N23" s="153"/>
      <c r="O23" s="315"/>
      <c r="P23" s="558"/>
      <c r="Q23" s="315"/>
      <c r="R23" s="153"/>
    </row>
    <row r="24" spans="1:18" ht="12.75">
      <c r="A24" s="474" t="s">
        <v>468</v>
      </c>
      <c r="B24" s="153">
        <f>H24</f>
        <v>0</v>
      </c>
      <c r="C24" s="315"/>
      <c r="D24" s="558">
        <f>'Table 3.42-Vol Flows'!D15/'Table 3.42-Vol Flows'!M15</f>
        <v>0.31683829461041624</v>
      </c>
      <c r="E24" s="315" t="s">
        <v>239</v>
      </c>
      <c r="F24" s="153">
        <f>B24*D24</f>
        <v>0</v>
      </c>
      <c r="H24" s="153">
        <v>0</v>
      </c>
      <c r="I24" s="315"/>
      <c r="J24" s="558">
        <f>'Table 3.42-Vol Flows'!D15/'Table 3.42-Vol Flows'!K15</f>
        <v>0.38935462440981594</v>
      </c>
      <c r="K24" s="315" t="s">
        <v>239</v>
      </c>
      <c r="L24" s="153">
        <f>H24*J24</f>
        <v>0</v>
      </c>
      <c r="N24" s="153">
        <v>0</v>
      </c>
      <c r="O24" s="315"/>
      <c r="P24" s="558">
        <v>0</v>
      </c>
      <c r="Q24" s="315"/>
      <c r="R24" s="153">
        <f>N24*P24</f>
        <v>0</v>
      </c>
    </row>
    <row r="25" spans="1:18" ht="12.75">
      <c r="A25" s="474" t="s">
        <v>469</v>
      </c>
      <c r="B25" s="153">
        <f>H25</f>
        <v>0.05170331462382573</v>
      </c>
      <c r="C25" s="315" t="s">
        <v>238</v>
      </c>
      <c r="D25" s="558">
        <f>'Table 3.42-Vol Flows'!E15/'Table 3.42-Vol Flows'!M15</f>
        <v>0.48470790678457115</v>
      </c>
      <c r="E25" s="315" t="s">
        <v>239</v>
      </c>
      <c r="F25" s="153">
        <f>B25*D25</f>
        <v>0.025061005405138677</v>
      </c>
      <c r="H25" s="153">
        <f>'Table 3.27-REC Detail ACS'!L50</f>
        <v>0.05170331462382573</v>
      </c>
      <c r="I25" s="315" t="s">
        <v>238</v>
      </c>
      <c r="J25" s="558">
        <f>'Table 3.42-Vol Flows'!E15/'Table 3.42-Vol Flows'!K15</f>
        <v>0.595645375590184</v>
      </c>
      <c r="K25" s="315" t="s">
        <v>239</v>
      </c>
      <c r="L25" s="153">
        <f>H25*J25</f>
        <v>0.03079684025836613</v>
      </c>
      <c r="N25" s="153">
        <v>0</v>
      </c>
      <c r="O25" s="315"/>
      <c r="P25" s="558">
        <v>0</v>
      </c>
      <c r="Q25" s="315"/>
      <c r="R25" s="153">
        <f>N25*P25</f>
        <v>0</v>
      </c>
    </row>
    <row r="26" spans="1:18" ht="12.75">
      <c r="A26" s="474"/>
      <c r="B26" s="153"/>
      <c r="C26" s="315"/>
      <c r="D26" s="558"/>
      <c r="E26" s="315"/>
      <c r="F26" s="153"/>
      <c r="H26" s="153"/>
      <c r="I26" s="315"/>
      <c r="J26" s="558"/>
      <c r="K26" s="315"/>
      <c r="L26" s="153"/>
      <c r="N26" s="153"/>
      <c r="O26" s="315"/>
      <c r="P26" s="558"/>
      <c r="Q26" s="315"/>
      <c r="R26" s="153"/>
    </row>
    <row r="27" spans="1:18" ht="12.75">
      <c r="A27" s="273"/>
      <c r="B27" s="266"/>
      <c r="C27" s="266"/>
      <c r="D27" s="559"/>
      <c r="E27" s="274"/>
      <c r="F27" s="266">
        <f>SUM(F17:F25)</f>
        <v>0.15769291936829993</v>
      </c>
      <c r="H27" s="266"/>
      <c r="I27" s="266"/>
      <c r="J27" s="559"/>
      <c r="K27" s="274"/>
      <c r="L27" s="266">
        <f>SUM(L17:L25)</f>
        <v>0.03603405103050896</v>
      </c>
      <c r="N27" s="266"/>
      <c r="O27" s="266"/>
      <c r="P27" s="559"/>
      <c r="Q27" s="274"/>
      <c r="R27" s="266">
        <f>SUM(R17:R25)</f>
        <v>0.6892447570717297</v>
      </c>
    </row>
    <row r="28" spans="1:18" ht="12.75">
      <c r="A28" s="151"/>
      <c r="B28" s="275"/>
      <c r="C28" s="275"/>
      <c r="D28" s="560"/>
      <c r="E28" s="276"/>
      <c r="F28" s="275"/>
      <c r="H28" s="275"/>
      <c r="I28" s="275"/>
      <c r="J28" s="560"/>
      <c r="K28" s="276"/>
      <c r="L28" s="275"/>
      <c r="N28" s="275"/>
      <c r="O28" s="275"/>
      <c r="P28" s="560"/>
      <c r="Q28" s="276"/>
      <c r="R28" s="275"/>
    </row>
    <row r="29" spans="1:18" ht="12.75">
      <c r="A29" s="270"/>
      <c r="B29" s="271"/>
      <c r="C29" s="271"/>
      <c r="D29" s="561" t="s">
        <v>131</v>
      </c>
      <c r="E29" s="277"/>
      <c r="F29" s="278" t="s">
        <v>211</v>
      </c>
      <c r="H29" s="271"/>
      <c r="I29" s="271"/>
      <c r="J29" s="561" t="s">
        <v>131</v>
      </c>
      <c r="K29" s="277"/>
      <c r="L29" s="278" t="s">
        <v>211</v>
      </c>
      <c r="N29" s="271"/>
      <c r="O29" s="271"/>
      <c r="P29" s="561" t="s">
        <v>131</v>
      </c>
      <c r="Q29" s="277"/>
      <c r="R29" s="278" t="s">
        <v>211</v>
      </c>
    </row>
    <row r="30" spans="1:18" ht="12.75">
      <c r="A30" s="257"/>
      <c r="B30" s="153"/>
      <c r="C30" s="153"/>
      <c r="D30" s="562" t="s">
        <v>103</v>
      </c>
      <c r="E30" s="279"/>
      <c r="F30" s="424" t="s">
        <v>104</v>
      </c>
      <c r="H30" s="153"/>
      <c r="I30" s="153"/>
      <c r="J30" s="562" t="s">
        <v>103</v>
      </c>
      <c r="K30" s="279"/>
      <c r="L30" s="424" t="s">
        <v>104</v>
      </c>
      <c r="N30" s="153"/>
      <c r="O30" s="153"/>
      <c r="P30" s="562" t="s">
        <v>103</v>
      </c>
      <c r="Q30" s="279"/>
      <c r="R30" s="424" t="s">
        <v>104</v>
      </c>
    </row>
    <row r="31" spans="1:18" ht="12.75">
      <c r="A31" s="322" t="s">
        <v>343</v>
      </c>
      <c r="B31" s="271">
        <f>F15</f>
        <v>0.1460049624493015</v>
      </c>
      <c r="C31" s="153"/>
      <c r="D31" s="558">
        <f>'Table 3.42-Vol Flows'!M8/SUM('Table 3.42-Vol Flows'!M8,'Table 3.42-Vol Flows'!M15)</f>
        <v>0.44495485659568684</v>
      </c>
      <c r="E31" s="315" t="s">
        <v>239</v>
      </c>
      <c r="F31" s="153">
        <f>B31*D31</f>
        <v>0.0649656171288876</v>
      </c>
      <c r="H31" s="271">
        <f>L15</f>
        <v>0.04011156105642057</v>
      </c>
      <c r="I31" s="153"/>
      <c r="J31" s="558">
        <f>'Table 3.42-Vol Flows'!K8/SUM('Table 3.42-Vol Flows'!K8,'Table 3.42-Vol Flows'!K15)</f>
        <v>0.41892451567111316</v>
      </c>
      <c r="K31" s="315" t="s">
        <v>239</v>
      </c>
      <c r="L31" s="153">
        <f>H31*J31</f>
        <v>0.01680371628837327</v>
      </c>
      <c r="N31" s="271">
        <f>R15</f>
        <v>0.43498000679491267</v>
      </c>
      <c r="O31" s="153"/>
      <c r="P31" s="558">
        <f>'Table 3.42-Vol Flows'!L8/SUM('Table 3.42-Vol Flows'!L8,'Table 3.42-Vol Flows'!L15)</f>
        <v>0.5358091981643597</v>
      </c>
      <c r="Q31" s="315" t="s">
        <v>239</v>
      </c>
      <c r="R31" s="153">
        <f>N31*P31</f>
        <v>0.2330662886583099</v>
      </c>
    </row>
    <row r="32" spans="1:18" ht="12.75">
      <c r="A32" s="321" t="s">
        <v>108</v>
      </c>
      <c r="B32" s="153">
        <f>F27</f>
        <v>0.15769291936829993</v>
      </c>
      <c r="C32" s="153"/>
      <c r="D32" s="558">
        <f>'Table 3.42-Vol Flows'!M15/SUM('Table 3.42-Vol Flows'!M8,'Table 3.42-Vol Flows'!M15)</f>
        <v>0.5550451434043131</v>
      </c>
      <c r="E32" s="315" t="s">
        <v>239</v>
      </c>
      <c r="F32" s="153">
        <f>B32*D32</f>
        <v>0.08752668904462282</v>
      </c>
      <c r="H32" s="153">
        <f>L27</f>
        <v>0.03603405103050896</v>
      </c>
      <c r="I32" s="153"/>
      <c r="J32" s="558">
        <f>'Table 3.42-Vol Flows'!K15/SUM('Table 3.42-Vol Flows'!K8,'Table 3.42-Vol Flows'!K15)</f>
        <v>0.5810754843288869</v>
      </c>
      <c r="K32" s="315" t="s">
        <v>239</v>
      </c>
      <c r="L32" s="153">
        <f>H32*J32</f>
        <v>0.02093850365488482</v>
      </c>
      <c r="N32" s="153">
        <f>R27</f>
        <v>0.6892447570717297</v>
      </c>
      <c r="O32" s="153"/>
      <c r="P32" s="558">
        <f>'Table 3.42-Vol Flows'!L15/SUM('Table 3.42-Vol Flows'!L8,'Table 3.42-Vol Flows'!L15)</f>
        <v>0.4641908018356403</v>
      </c>
      <c r="Q32" s="315" t="s">
        <v>239</v>
      </c>
      <c r="R32" s="153">
        <f>N32*P32</f>
        <v>0.31994107644613734</v>
      </c>
    </row>
    <row r="33" spans="1:18" ht="12.75">
      <c r="A33" s="257"/>
      <c r="B33" s="153"/>
      <c r="C33" s="153"/>
      <c r="D33" s="280"/>
      <c r="E33" s="280"/>
      <c r="F33" s="153"/>
      <c r="H33" s="153"/>
      <c r="I33" s="153"/>
      <c r="J33" s="558"/>
      <c r="K33" s="280"/>
      <c r="L33" s="153"/>
      <c r="N33" s="153"/>
      <c r="O33" s="153"/>
      <c r="P33" s="558"/>
      <c r="Q33" s="280"/>
      <c r="R33" s="153"/>
    </row>
    <row r="34" spans="1:18" ht="12.75">
      <c r="A34" s="265" t="s">
        <v>132</v>
      </c>
      <c r="B34" s="266"/>
      <c r="C34" s="266"/>
      <c r="D34" s="559">
        <f>D31+D32</f>
        <v>1</v>
      </c>
      <c r="E34" s="281"/>
      <c r="F34" s="268">
        <f>F31+F32</f>
        <v>0.15249230617351042</v>
      </c>
      <c r="G34" s="120"/>
      <c r="H34" s="266"/>
      <c r="I34" s="266"/>
      <c r="J34" s="559">
        <f>J31+J32</f>
        <v>1</v>
      </c>
      <c r="K34" s="281"/>
      <c r="L34" s="268">
        <f>L31+L32</f>
        <v>0.03774221994325809</v>
      </c>
      <c r="N34" s="266"/>
      <c r="O34" s="266"/>
      <c r="P34" s="559">
        <f>P31+P32</f>
        <v>1</v>
      </c>
      <c r="Q34" s="281"/>
      <c r="R34" s="268">
        <f>R31+R32</f>
        <v>0.5530073651044473</v>
      </c>
    </row>
    <row r="35" ht="12.75" hidden="1"/>
    <row r="36" spans="1:16" ht="12.75" hidden="1">
      <c r="A36" s="14" t="s">
        <v>188</v>
      </c>
      <c r="B36" s="143">
        <f>B9-H9</f>
        <v>0</v>
      </c>
      <c r="D36" s="143">
        <f>SUM(D8:D13)-1</f>
        <v>0</v>
      </c>
      <c r="F36" s="143">
        <f>F15-'Table 3.1-UAA Summary'!M50</f>
        <v>0</v>
      </c>
      <c r="H36" s="143">
        <f>H9-N9</f>
        <v>0</v>
      </c>
      <c r="J36" s="143">
        <f>SUM(J8:J13)-1</f>
        <v>0</v>
      </c>
      <c r="P36" s="143">
        <f>SUM(P8:P13)-1</f>
        <v>0</v>
      </c>
    </row>
    <row r="37" spans="2:16" ht="12.75" hidden="1">
      <c r="B37" s="143">
        <f>B21-H21</f>
        <v>0</v>
      </c>
      <c r="D37" s="143">
        <f>SUM(D20:D25)-1</f>
        <v>0</v>
      </c>
      <c r="E37" s="14"/>
      <c r="F37" s="143">
        <f>F27-SUM('Table 3.1-UAA Summary'!K51:K52)/SUM('Table 3.1-UAA Summary'!L51:L51)</f>
        <v>0</v>
      </c>
      <c r="H37" s="143">
        <f>H21-N21</f>
        <v>0</v>
      </c>
      <c r="J37" s="143">
        <f>SUM(J20:J25)-1</f>
        <v>0</v>
      </c>
      <c r="P37" s="143">
        <f>SUM(P20:P25)-1</f>
        <v>0</v>
      </c>
    </row>
    <row r="38" spans="2:18" ht="12.75" hidden="1">
      <c r="B38" s="240"/>
      <c r="C38" s="27"/>
      <c r="D38" s="240"/>
      <c r="E38" s="547"/>
      <c r="F38" s="143">
        <f>F34-'Table 3.1-UAA Summary'!M53</f>
        <v>0</v>
      </c>
      <c r="G38" s="27"/>
      <c r="H38" s="240"/>
      <c r="I38" s="27"/>
      <c r="J38" s="240"/>
      <c r="K38" s="27"/>
      <c r="L38" s="143">
        <f>L34-'Table 3.1-UAA Summary'!G53</f>
        <v>0</v>
      </c>
      <c r="M38" s="27"/>
      <c r="N38" s="27"/>
      <c r="O38" s="27"/>
      <c r="P38" s="240"/>
      <c r="R38" s="143">
        <f>R34-'Table 3.1-UAA Summary'!J53</f>
        <v>0</v>
      </c>
    </row>
    <row r="39" spans="1:4" ht="12.75">
      <c r="A39" s="283"/>
      <c r="B39" s="283"/>
      <c r="C39" s="283"/>
      <c r="D39" s="283"/>
    </row>
    <row r="40" spans="1:3" ht="12.75">
      <c r="A40" t="s">
        <v>235</v>
      </c>
      <c r="B40" s="234"/>
      <c r="C40" s="234"/>
    </row>
    <row r="41" ht="12.75">
      <c r="A41" s="12" t="s">
        <v>92</v>
      </c>
    </row>
    <row r="42" ht="12.75">
      <c r="A42" s="12" t="s">
        <v>36</v>
      </c>
    </row>
    <row r="43" ht="12.75">
      <c r="A43" s="12" t="s">
        <v>708</v>
      </c>
    </row>
    <row r="44" ht="12.75">
      <c r="A44" s="12" t="s">
        <v>474</v>
      </c>
    </row>
    <row r="45" ht="12.75">
      <c r="A45" s="12" t="s">
        <v>671</v>
      </c>
    </row>
    <row r="46" ht="12.75">
      <c r="A46" s="12" t="s">
        <v>638</v>
      </c>
    </row>
  </sheetData>
  <sheetProtection/>
  <printOptions horizontalCentered="1"/>
  <pageMargins left="0.75" right="0.75" top="1" bottom="1" header="0.5" footer="0.5"/>
  <pageSetup fitToHeight="1" fitToWidth="1" horizontalDpi="600" verticalDpi="600" orientation="landscape" scale="80" r:id="rId1"/>
  <headerFooter alignWithMargins="0">
    <oddFooter>&amp;L&amp;F</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AA46"/>
  <sheetViews>
    <sheetView zoomScale="70" zoomScaleNormal="70" zoomScalePageLayoutView="0" workbookViewId="0" topLeftCell="A1">
      <selection activeCell="A1" sqref="A1"/>
    </sheetView>
  </sheetViews>
  <sheetFormatPr defaultColWidth="9.140625" defaultRowHeight="12.75"/>
  <cols>
    <col min="1" max="1" width="31.140625" style="0" customWidth="1"/>
    <col min="2" max="2" width="10.7109375" style="0" customWidth="1"/>
    <col min="3" max="3" width="2.7109375" style="0" customWidth="1"/>
    <col min="4" max="4" width="10.140625" style="0" customWidth="1"/>
    <col min="5" max="5" width="2.7109375" style="0" customWidth="1"/>
    <col min="6" max="6" width="12.57421875" style="0" customWidth="1"/>
    <col min="7" max="7" width="2.7109375" style="0" customWidth="1"/>
    <col min="8" max="8" width="10.7109375" style="0" customWidth="1"/>
    <col min="9" max="9" width="2.7109375" style="0" customWidth="1"/>
    <col min="10" max="10" width="10.140625" style="0" customWidth="1"/>
    <col min="11" max="11" width="2.7109375" style="0" customWidth="1"/>
    <col min="12" max="12" width="12.57421875" style="0" customWidth="1"/>
    <col min="13" max="13" width="2.7109375" style="0" customWidth="1"/>
    <col min="14" max="14" width="10.7109375" style="0" customWidth="1"/>
    <col min="15" max="15" width="2.7109375" style="0" customWidth="1"/>
    <col min="16" max="16" width="10.140625" style="0" customWidth="1"/>
    <col min="17" max="17" width="2.7109375" style="0" customWidth="1"/>
    <col min="18" max="18" width="12.57421875" style="0" customWidth="1"/>
  </cols>
  <sheetData>
    <row r="1" spans="1:6" ht="15.75">
      <c r="A1" s="158" t="s">
        <v>773</v>
      </c>
      <c r="B1" s="320"/>
      <c r="C1" s="320"/>
      <c r="D1" s="320"/>
      <c r="E1" s="320"/>
      <c r="F1" s="320"/>
    </row>
    <row r="2" spans="1:6" ht="16.5" thickBot="1">
      <c r="A2" s="158" t="s">
        <v>787</v>
      </c>
      <c r="B2" s="320"/>
      <c r="C2" s="320"/>
      <c r="D2" s="320"/>
      <c r="E2" s="320"/>
      <c r="F2" s="320"/>
    </row>
    <row r="3" spans="1:18" ht="13.5" thickBot="1">
      <c r="A3" s="17"/>
      <c r="B3" s="418" t="s">
        <v>270</v>
      </c>
      <c r="C3" s="419"/>
      <c r="D3" s="419"/>
      <c r="E3" s="420"/>
      <c r="F3" s="421"/>
      <c r="H3" s="418" t="s">
        <v>147</v>
      </c>
      <c r="I3" s="419"/>
      <c r="J3" s="419"/>
      <c r="K3" s="420"/>
      <c r="L3" s="421"/>
      <c r="N3" s="418" t="s">
        <v>344</v>
      </c>
      <c r="O3" s="419"/>
      <c r="P3" s="419"/>
      <c r="Q3" s="420"/>
      <c r="R3" s="421"/>
    </row>
    <row r="4" spans="2:18" ht="12.75">
      <c r="B4" s="416" t="s">
        <v>128</v>
      </c>
      <c r="C4" s="23"/>
      <c r="D4" s="4"/>
      <c r="E4" s="4"/>
      <c r="F4" s="417" t="s">
        <v>117</v>
      </c>
      <c r="H4" s="416" t="s">
        <v>128</v>
      </c>
      <c r="I4" s="23"/>
      <c r="J4" s="4"/>
      <c r="K4" s="4"/>
      <c r="L4" s="417" t="s">
        <v>117</v>
      </c>
      <c r="N4" s="416" t="s">
        <v>128</v>
      </c>
      <c r="O4" s="23"/>
      <c r="P4" s="4"/>
      <c r="Q4" s="4"/>
      <c r="R4" s="417" t="s">
        <v>117</v>
      </c>
    </row>
    <row r="5" spans="2:18" ht="12.75">
      <c r="B5" s="229" t="s">
        <v>104</v>
      </c>
      <c r="C5" s="319"/>
      <c r="D5" s="156" t="s">
        <v>97</v>
      </c>
      <c r="E5" s="156"/>
      <c r="F5" s="231" t="s">
        <v>104</v>
      </c>
      <c r="H5" s="229" t="s">
        <v>104</v>
      </c>
      <c r="I5" s="319"/>
      <c r="J5" s="156" t="s">
        <v>97</v>
      </c>
      <c r="K5" s="156"/>
      <c r="L5" s="231" t="s">
        <v>104</v>
      </c>
      <c r="N5" s="229" t="s">
        <v>104</v>
      </c>
      <c r="O5" s="319"/>
      <c r="P5" s="156" t="s">
        <v>97</v>
      </c>
      <c r="Q5" s="156"/>
      <c r="R5" s="231" t="s">
        <v>104</v>
      </c>
    </row>
    <row r="6" spans="1:18" ht="12.75">
      <c r="A6" s="422" t="s">
        <v>129</v>
      </c>
      <c r="B6" s="269"/>
      <c r="C6" s="269"/>
      <c r="D6" s="270"/>
      <c r="E6" s="270"/>
      <c r="F6" s="271"/>
      <c r="H6" s="269"/>
      <c r="I6" s="269"/>
      <c r="J6" s="270"/>
      <c r="K6" s="270"/>
      <c r="L6" s="271"/>
      <c r="N6" s="269"/>
      <c r="O6" s="269"/>
      <c r="P6" s="270"/>
      <c r="Q6" s="270"/>
      <c r="R6" s="271"/>
    </row>
    <row r="7" spans="1:18" ht="12.75">
      <c r="A7" s="415" t="s">
        <v>470</v>
      </c>
      <c r="B7" s="478"/>
      <c r="C7" s="478"/>
      <c r="D7" s="257"/>
      <c r="E7" s="257"/>
      <c r="F7" s="153"/>
      <c r="H7" s="478"/>
      <c r="I7" s="478"/>
      <c r="J7" s="257"/>
      <c r="K7" s="257"/>
      <c r="L7" s="153"/>
      <c r="N7" s="478"/>
      <c r="O7" s="478"/>
      <c r="P7" s="257"/>
      <c r="Q7" s="257"/>
      <c r="R7" s="153"/>
    </row>
    <row r="8" spans="1:18" ht="12.75">
      <c r="A8" s="479" t="s">
        <v>472</v>
      </c>
      <c r="B8" s="153">
        <v>0</v>
      </c>
      <c r="C8" s="315"/>
      <c r="D8" s="558">
        <v>0</v>
      </c>
      <c r="E8" s="315"/>
      <c r="F8" s="153">
        <f>B8*D8</f>
        <v>0</v>
      </c>
      <c r="H8" s="153">
        <v>0</v>
      </c>
      <c r="I8" s="315"/>
      <c r="J8" s="558">
        <v>0</v>
      </c>
      <c r="K8" s="315"/>
      <c r="L8" s="153">
        <f>H8*J8</f>
        <v>0</v>
      </c>
      <c r="N8" s="153">
        <v>0</v>
      </c>
      <c r="O8" s="315"/>
      <c r="P8" s="558">
        <v>0</v>
      </c>
      <c r="Q8" s="315"/>
      <c r="R8" s="153">
        <f>N8*P8</f>
        <v>0</v>
      </c>
    </row>
    <row r="9" spans="1:18" ht="12.75">
      <c r="A9" s="479" t="s">
        <v>473</v>
      </c>
      <c r="B9" s="153">
        <f>SUM('Table 3.19-CFS UAA'!J44,'Table 3.19-CFS UAA'!J13)/SUM('Table 3.19-CFS UAA'!B44,'Table 3.19-CFS UAA'!B13)</f>
        <v>0.43498000679491267</v>
      </c>
      <c r="C9" s="315" t="s">
        <v>236</v>
      </c>
      <c r="D9" s="558">
        <f>('Table 3.42-Vol Flows'!C8+'Table 3.42-Vol Flows'!H8)/('Table 3.42-Vol Flows'!M8)</f>
        <v>0.2791512673338942</v>
      </c>
      <c r="E9" s="315" t="s">
        <v>239</v>
      </c>
      <c r="F9" s="153">
        <f>B9*D9</f>
        <v>0.12142522016170579</v>
      </c>
      <c r="H9" s="153">
        <f>'Table 3.19-CFS UAA'!K44</f>
        <v>0.43498000679491267</v>
      </c>
      <c r="I9" s="315" t="s">
        <v>236</v>
      </c>
      <c r="J9" s="558">
        <f>'Table 3.42-Vol Flows'!C8/'Table 3.42-Vol Flows'!K8</f>
        <v>0.015000000000000005</v>
      </c>
      <c r="K9" s="315" t="s">
        <v>239</v>
      </c>
      <c r="L9" s="153">
        <f>H9*J9</f>
        <v>0.006524700101923692</v>
      </c>
      <c r="N9" s="153">
        <f>'Table 3.19-CFS UAA'!K13</f>
        <v>0.43498000679491267</v>
      </c>
      <c r="O9" s="315" t="s">
        <v>236</v>
      </c>
      <c r="P9" s="558">
        <f>'Table 3.42-Vol Flows'!H8/'Table 3.42-Vol Flows'!L8</f>
        <v>1</v>
      </c>
      <c r="Q9" s="315" t="s">
        <v>239</v>
      </c>
      <c r="R9" s="153">
        <f>N9*P9</f>
        <v>0.43498000679491267</v>
      </c>
    </row>
    <row r="10" spans="1:18" ht="12.75">
      <c r="A10" s="415"/>
      <c r="B10" s="153"/>
      <c r="C10" s="315"/>
      <c r="D10" s="558"/>
      <c r="E10" s="315"/>
      <c r="F10" s="153"/>
      <c r="H10" s="153"/>
      <c r="I10" s="315"/>
      <c r="J10" s="558"/>
      <c r="K10" s="315"/>
      <c r="L10" s="153"/>
      <c r="N10" s="153"/>
      <c r="O10" s="315"/>
      <c r="P10" s="558"/>
      <c r="Q10" s="315"/>
      <c r="R10" s="153"/>
    </row>
    <row r="11" spans="1:18" ht="12.75">
      <c r="A11" s="415" t="s">
        <v>459</v>
      </c>
      <c r="B11" s="153"/>
      <c r="C11" s="315"/>
      <c r="D11" s="558"/>
      <c r="E11" s="315"/>
      <c r="F11" s="153"/>
      <c r="H11" s="477"/>
      <c r="I11" s="315"/>
      <c r="J11" s="558"/>
      <c r="K11" s="315"/>
      <c r="L11" s="153"/>
      <c r="N11" s="153"/>
      <c r="O11" s="315"/>
      <c r="P11" s="558"/>
      <c r="Q11" s="315"/>
      <c r="R11" s="153"/>
    </row>
    <row r="12" spans="1:18" ht="12.75">
      <c r="A12" s="479" t="s">
        <v>475</v>
      </c>
      <c r="B12" s="153">
        <f>H12</f>
        <v>0</v>
      </c>
      <c r="C12" s="315"/>
      <c r="D12" s="558">
        <f>'Table 3.43-Elec Notice'!D12+'Table 3.43-Elec Notice'!D13</f>
        <v>0.7208487326661057</v>
      </c>
      <c r="E12" s="315" t="s">
        <v>239</v>
      </c>
      <c r="F12" s="153">
        <f>B12*D12</f>
        <v>0</v>
      </c>
      <c r="H12" s="153">
        <v>0</v>
      </c>
      <c r="I12" s="315"/>
      <c r="J12" s="558">
        <f>'Table 3.43-Elec Notice'!J12+'Table 3.43-Elec Notice'!J13</f>
        <v>0.985</v>
      </c>
      <c r="K12" s="315" t="s">
        <v>239</v>
      </c>
      <c r="L12" s="153">
        <f>H12*J12</f>
        <v>0</v>
      </c>
      <c r="N12" s="153">
        <v>0</v>
      </c>
      <c r="O12" s="315"/>
      <c r="P12" s="558">
        <v>0</v>
      </c>
      <c r="Q12" s="315"/>
      <c r="R12" s="153">
        <f>N12*P12</f>
        <v>0</v>
      </c>
    </row>
    <row r="13" spans="1:18" ht="12.75">
      <c r="A13" s="474" t="s">
        <v>469</v>
      </c>
      <c r="B13" s="153">
        <f>H13</f>
        <v>0.05170331462382573</v>
      </c>
      <c r="C13" s="315" t="s">
        <v>238</v>
      </c>
      <c r="D13" s="563">
        <v>0</v>
      </c>
      <c r="E13" s="315"/>
      <c r="F13" s="153">
        <f>B13*D13</f>
        <v>0</v>
      </c>
      <c r="H13" s="153">
        <f>'Table 3.27-REC Detail ACS'!L49</f>
        <v>0.05170331462382573</v>
      </c>
      <c r="I13" s="315" t="s">
        <v>238</v>
      </c>
      <c r="J13" s="563">
        <v>0</v>
      </c>
      <c r="K13" s="315"/>
      <c r="L13" s="153">
        <f>H13*J13</f>
        <v>0</v>
      </c>
      <c r="N13" s="153">
        <v>0</v>
      </c>
      <c r="O13" s="315"/>
      <c r="P13" s="558">
        <v>0</v>
      </c>
      <c r="Q13" s="315"/>
      <c r="R13" s="153">
        <f>N13*P13</f>
        <v>0</v>
      </c>
    </row>
    <row r="14" spans="1:18" ht="12.75">
      <c r="A14" s="474"/>
      <c r="B14" s="153"/>
      <c r="C14" s="315"/>
      <c r="D14" s="558"/>
      <c r="E14" s="315"/>
      <c r="F14" s="153"/>
      <c r="H14" s="153"/>
      <c r="I14" s="315"/>
      <c r="J14" s="558"/>
      <c r="K14" s="315"/>
      <c r="L14" s="153"/>
      <c r="N14" s="153"/>
      <c r="O14" s="315"/>
      <c r="P14" s="558"/>
      <c r="Q14" s="315"/>
      <c r="R14" s="153"/>
    </row>
    <row r="15" spans="1:18" ht="12.75">
      <c r="A15" s="257"/>
      <c r="B15" s="153"/>
      <c r="C15" s="153"/>
      <c r="D15" s="558"/>
      <c r="E15" s="272"/>
      <c r="F15" s="153">
        <f>SUM(F8:F13)</f>
        <v>0.12142522016170579</v>
      </c>
      <c r="H15" s="153"/>
      <c r="I15" s="153"/>
      <c r="J15" s="558"/>
      <c r="K15" s="272"/>
      <c r="L15" s="153">
        <f>SUM(L8:L13)</f>
        <v>0.006524700101923692</v>
      </c>
      <c r="N15" s="153"/>
      <c r="O15" s="153"/>
      <c r="P15" s="558"/>
      <c r="Q15" s="272"/>
      <c r="R15" s="153">
        <f>SUM(R8:R13)</f>
        <v>0.43498000679491267</v>
      </c>
    </row>
    <row r="16" spans="1:18" ht="12.75">
      <c r="A16" s="423" t="s">
        <v>342</v>
      </c>
      <c r="B16" s="153"/>
      <c r="C16" s="153"/>
      <c r="D16" s="558"/>
      <c r="E16" s="272"/>
      <c r="F16" s="153"/>
      <c r="H16" s="153"/>
      <c r="I16" s="153"/>
      <c r="J16" s="558"/>
      <c r="K16" s="272"/>
      <c r="L16" s="153"/>
      <c r="N16" s="153"/>
      <c r="O16" s="153"/>
      <c r="P16" s="558"/>
      <c r="Q16" s="272"/>
      <c r="R16" s="153"/>
    </row>
    <row r="17" spans="1:18" ht="12.75">
      <c r="A17" s="415" t="s">
        <v>767</v>
      </c>
      <c r="B17" s="153">
        <f>N17</f>
        <v>0.34009737226220754</v>
      </c>
      <c r="C17" s="153"/>
      <c r="D17" s="558">
        <f>'Table 3.42-Vol Flows'!H15/'Table 3.42-Vol Flows'!M15</f>
        <v>0.18624751127412434</v>
      </c>
      <c r="E17" s="272"/>
      <c r="F17" s="153">
        <f>B17*D17</f>
        <v>0.06334228917470557</v>
      </c>
      <c r="H17" s="153">
        <f>IF(SUM('Table 3.18-Nixie UAA'!D17:D18)&lt;&gt;0,SUM('Table 3.18-Nixie UAA'!I17:I18)/SUM('Table 3.18-Nixie UAA'!D17:D18),0)</f>
        <v>0</v>
      </c>
      <c r="I17" s="315" t="s">
        <v>239</v>
      </c>
      <c r="J17" s="558">
        <v>1</v>
      </c>
      <c r="K17" s="272"/>
      <c r="L17" s="153">
        <f>H17*J17</f>
        <v>0</v>
      </c>
      <c r="N17" s="153">
        <f>IF(SUM('Table 3.18-Nixie UAA'!D26:D27)&lt;&gt;0,SUM('Table 3.18-Nixie UAA'!I26:I27)/SUM('Table 3.18-Nixie UAA'!D26:D27),0)</f>
        <v>0.34009737226220754</v>
      </c>
      <c r="O17" s="315" t="s">
        <v>242</v>
      </c>
      <c r="P17" s="558">
        <v>1</v>
      </c>
      <c r="Q17" s="272"/>
      <c r="R17" s="153">
        <f>N17*P17</f>
        <v>0.34009737226220754</v>
      </c>
    </row>
    <row r="18" spans="1:18" ht="12.75">
      <c r="A18" s="423"/>
      <c r="B18" s="153"/>
      <c r="C18" s="153"/>
      <c r="D18" s="558"/>
      <c r="E18" s="272"/>
      <c r="F18" s="153"/>
      <c r="H18" s="153"/>
      <c r="I18" s="153"/>
      <c r="J18" s="558"/>
      <c r="K18" s="272"/>
      <c r="L18" s="153"/>
      <c r="N18" s="153"/>
      <c r="O18" s="153"/>
      <c r="P18" s="558"/>
      <c r="Q18" s="272"/>
      <c r="R18" s="153"/>
    </row>
    <row r="19" spans="1:18" ht="12.75">
      <c r="A19" s="415" t="s">
        <v>470</v>
      </c>
      <c r="B19" s="153"/>
      <c r="C19" s="153"/>
      <c r="D19" s="558"/>
      <c r="E19" s="272"/>
      <c r="F19" s="153"/>
      <c r="H19" s="153"/>
      <c r="I19" s="153"/>
      <c r="J19" s="558"/>
      <c r="K19" s="272"/>
      <c r="L19" s="153"/>
      <c r="N19" s="153"/>
      <c r="O19" s="153"/>
      <c r="P19" s="558"/>
      <c r="Q19" s="272"/>
      <c r="R19" s="153"/>
    </row>
    <row r="20" spans="1:27" ht="12.75">
      <c r="A20" s="474" t="s">
        <v>130</v>
      </c>
      <c r="B20" s="153">
        <v>0</v>
      </c>
      <c r="C20" s="315"/>
      <c r="D20" s="558">
        <v>0</v>
      </c>
      <c r="E20" s="315"/>
      <c r="F20" s="153">
        <f>B20*D20</f>
        <v>0</v>
      </c>
      <c r="H20" s="153">
        <v>0</v>
      </c>
      <c r="I20" s="315"/>
      <c r="J20" s="558">
        <v>0</v>
      </c>
      <c r="K20" s="315"/>
      <c r="L20" s="153">
        <f>H20*J20</f>
        <v>0</v>
      </c>
      <c r="N20" s="153">
        <v>0</v>
      </c>
      <c r="O20" s="315"/>
      <c r="P20" s="558">
        <v>0</v>
      </c>
      <c r="Q20" s="315"/>
      <c r="R20" s="153">
        <f>N20*P20</f>
        <v>0</v>
      </c>
      <c r="U20" s="241"/>
      <c r="V20" s="27"/>
      <c r="W20" s="27"/>
      <c r="X20" s="27"/>
      <c r="Y20" s="27"/>
      <c r="Z20" s="27"/>
      <c r="AA20" s="27"/>
    </row>
    <row r="21" spans="1:18" ht="12.75">
      <c r="A21" s="474" t="s">
        <v>471</v>
      </c>
      <c r="B21" s="153">
        <f>SUM('Table 3.19-CFS UAA'!J26,'Table 3.19-CFS UAA'!J57)/SUM('Table 3.19-CFS UAA'!B26,'Table 3.19-CFS UAA'!B57)</f>
        <v>0.34914738480952223</v>
      </c>
      <c r="C21" s="315" t="s">
        <v>236</v>
      </c>
      <c r="D21" s="558">
        <f>('Table 3.42-Vol Flows'!C15+'Table 3.42-Vol Flows'!H15)/('Table 3.42-Vol Flows'!M15)</f>
        <v>0.19845379860501247</v>
      </c>
      <c r="E21" s="315" t="s">
        <v>239</v>
      </c>
      <c r="F21" s="153">
        <f>B21*D21</f>
        <v>0.06928962478845571</v>
      </c>
      <c r="H21" s="153">
        <f>'Table 3.19-CFS UAA'!K57</f>
        <v>0.34914738480952223</v>
      </c>
      <c r="I21" s="315" t="s">
        <v>236</v>
      </c>
      <c r="J21" s="558">
        <f>'Table 3.42-Vol Flows'!C15/'Table 3.42-Vol Flows'!K15</f>
        <v>0.014999999999999998</v>
      </c>
      <c r="K21" s="315" t="s">
        <v>239</v>
      </c>
      <c r="L21" s="153">
        <f>H21*J21</f>
        <v>0.005237210772142832</v>
      </c>
      <c r="N21" s="153">
        <f>'Table 3.19-CFS UAA'!K26</f>
        <v>0.34914738480952223</v>
      </c>
      <c r="O21" s="315" t="s">
        <v>236</v>
      </c>
      <c r="P21" s="558">
        <f>'Table 3.42-Vol Flows'!H15/'Table 3.42-Vol Flows'!L15</f>
        <v>1</v>
      </c>
      <c r="Q21" s="315" t="s">
        <v>239</v>
      </c>
      <c r="R21" s="153">
        <f>N21*P21</f>
        <v>0.34914738480952223</v>
      </c>
    </row>
    <row r="22" spans="1:18" ht="12.75">
      <c r="A22" s="415"/>
      <c r="B22" s="153"/>
      <c r="C22" s="315"/>
      <c r="D22" s="558"/>
      <c r="E22" s="315"/>
      <c r="F22" s="153"/>
      <c r="H22" s="153"/>
      <c r="I22" s="315"/>
      <c r="J22" s="558"/>
      <c r="K22" s="315"/>
      <c r="L22" s="153"/>
      <c r="N22" s="153"/>
      <c r="O22" s="315"/>
      <c r="P22" s="558"/>
      <c r="Q22" s="315"/>
      <c r="R22" s="153"/>
    </row>
    <row r="23" spans="1:18" ht="12.75">
      <c r="A23" s="415" t="s">
        <v>459</v>
      </c>
      <c r="B23" s="153"/>
      <c r="C23" s="315"/>
      <c r="D23" s="558"/>
      <c r="E23" s="315"/>
      <c r="F23" s="153"/>
      <c r="H23" s="153"/>
      <c r="I23" s="315"/>
      <c r="J23" s="558"/>
      <c r="K23" s="315"/>
      <c r="L23" s="153"/>
      <c r="N23" s="153"/>
      <c r="O23" s="315"/>
      <c r="P23" s="558"/>
      <c r="Q23" s="315"/>
      <c r="R23" s="153"/>
    </row>
    <row r="24" spans="1:18" ht="12.75">
      <c r="A24" s="474" t="s">
        <v>468</v>
      </c>
      <c r="B24" s="153">
        <f>H24</f>
        <v>0</v>
      </c>
      <c r="C24" s="315"/>
      <c r="D24" s="558">
        <f>'Table 3.43-Elec Notice'!D24+'Table 3.43-Elec Notice'!D25</f>
        <v>0.8015462013949874</v>
      </c>
      <c r="E24" s="315" t="s">
        <v>239</v>
      </c>
      <c r="F24" s="153">
        <f>B24*D24</f>
        <v>0</v>
      </c>
      <c r="H24" s="153">
        <v>0</v>
      </c>
      <c r="I24" s="315"/>
      <c r="J24" s="558">
        <f>'Table 3.43-Elec Notice'!J24+'Table 3.43-Elec Notice'!J25</f>
        <v>0.985</v>
      </c>
      <c r="K24" s="315" t="s">
        <v>239</v>
      </c>
      <c r="L24" s="153">
        <f>H24*J24</f>
        <v>0</v>
      </c>
      <c r="N24" s="153">
        <v>0</v>
      </c>
      <c r="O24" s="315"/>
      <c r="P24" s="558">
        <v>0</v>
      </c>
      <c r="Q24" s="315"/>
      <c r="R24" s="153">
        <f>N24*P24</f>
        <v>0</v>
      </c>
    </row>
    <row r="25" spans="1:18" ht="12.75">
      <c r="A25" s="474" t="s">
        <v>469</v>
      </c>
      <c r="B25" s="153">
        <f>H25</f>
        <v>0.05170331462382573</v>
      </c>
      <c r="C25" s="315" t="s">
        <v>238</v>
      </c>
      <c r="D25" s="563">
        <v>0</v>
      </c>
      <c r="E25" s="315"/>
      <c r="F25" s="153">
        <f>B25*D25</f>
        <v>0</v>
      </c>
      <c r="H25" s="153">
        <f>'Table 3.27-REC Detail ACS'!L50</f>
        <v>0.05170331462382573</v>
      </c>
      <c r="I25" s="315" t="s">
        <v>238</v>
      </c>
      <c r="J25" s="563">
        <v>0</v>
      </c>
      <c r="K25" s="315"/>
      <c r="L25" s="153">
        <f>H25*J25</f>
        <v>0</v>
      </c>
      <c r="N25" s="153">
        <v>0</v>
      </c>
      <c r="O25" s="315"/>
      <c r="P25" s="558">
        <v>0</v>
      </c>
      <c r="Q25" s="315"/>
      <c r="R25" s="153">
        <f>N25*P25</f>
        <v>0</v>
      </c>
    </row>
    <row r="26" spans="1:18" ht="12.75">
      <c r="A26" s="474"/>
      <c r="B26" s="153"/>
      <c r="C26" s="315"/>
      <c r="D26" s="558"/>
      <c r="E26" s="315"/>
      <c r="F26" s="153"/>
      <c r="H26" s="153"/>
      <c r="I26" s="315"/>
      <c r="J26" s="558"/>
      <c r="K26" s="315"/>
      <c r="L26" s="153"/>
      <c r="N26" s="153"/>
      <c r="O26" s="315"/>
      <c r="P26" s="558"/>
      <c r="Q26" s="315"/>
      <c r="R26" s="153"/>
    </row>
    <row r="27" spans="1:18" ht="12.75">
      <c r="A27" s="273"/>
      <c r="B27" s="266"/>
      <c r="C27" s="266"/>
      <c r="D27" s="559"/>
      <c r="E27" s="274"/>
      <c r="F27" s="266">
        <f>SUM(F17:F25)</f>
        <v>0.13263191396316126</v>
      </c>
      <c r="H27" s="266"/>
      <c r="I27" s="266"/>
      <c r="J27" s="559"/>
      <c r="K27" s="274"/>
      <c r="L27" s="266">
        <f>SUM(L17:L25)</f>
        <v>0.005237210772142832</v>
      </c>
      <c r="N27" s="266"/>
      <c r="O27" s="266"/>
      <c r="P27" s="559"/>
      <c r="Q27" s="274"/>
      <c r="R27" s="266">
        <f>SUM(R17:R25)</f>
        <v>0.6892447570717297</v>
      </c>
    </row>
    <row r="28" spans="1:18" ht="12.75">
      <c r="A28" s="151"/>
      <c r="B28" s="275"/>
      <c r="C28" s="275"/>
      <c r="D28" s="560"/>
      <c r="E28" s="276"/>
      <c r="F28" s="275"/>
      <c r="H28" s="275"/>
      <c r="I28" s="275"/>
      <c r="J28" s="560"/>
      <c r="K28" s="276"/>
      <c r="L28" s="275"/>
      <c r="N28" s="275"/>
      <c r="O28" s="275"/>
      <c r="P28" s="560"/>
      <c r="Q28" s="276"/>
      <c r="R28" s="275"/>
    </row>
    <row r="29" spans="1:18" ht="12.75">
      <c r="A29" s="270"/>
      <c r="B29" s="271"/>
      <c r="C29" s="271"/>
      <c r="D29" s="561" t="s">
        <v>131</v>
      </c>
      <c r="E29" s="277"/>
      <c r="F29" s="278" t="s">
        <v>211</v>
      </c>
      <c r="H29" s="271"/>
      <c r="I29" s="271"/>
      <c r="J29" s="561" t="s">
        <v>131</v>
      </c>
      <c r="K29" s="277"/>
      <c r="L29" s="278" t="s">
        <v>211</v>
      </c>
      <c r="N29" s="271"/>
      <c r="O29" s="271"/>
      <c r="P29" s="561" t="s">
        <v>131</v>
      </c>
      <c r="Q29" s="277"/>
      <c r="R29" s="278" t="s">
        <v>211</v>
      </c>
    </row>
    <row r="30" spans="1:18" ht="12.75">
      <c r="A30" s="257"/>
      <c r="B30" s="153"/>
      <c r="C30" s="153"/>
      <c r="D30" s="562" t="s">
        <v>103</v>
      </c>
      <c r="E30" s="279"/>
      <c r="F30" s="424" t="s">
        <v>104</v>
      </c>
      <c r="H30" s="153"/>
      <c r="I30" s="153"/>
      <c r="J30" s="562" t="s">
        <v>103</v>
      </c>
      <c r="K30" s="279"/>
      <c r="L30" s="424" t="s">
        <v>104</v>
      </c>
      <c r="N30" s="153"/>
      <c r="O30" s="153"/>
      <c r="P30" s="562" t="s">
        <v>103</v>
      </c>
      <c r="Q30" s="279"/>
      <c r="R30" s="424" t="s">
        <v>104</v>
      </c>
    </row>
    <row r="31" spans="1:18" ht="12.75">
      <c r="A31" s="322" t="s">
        <v>343</v>
      </c>
      <c r="B31" s="271">
        <f>F15</f>
        <v>0.12142522016170579</v>
      </c>
      <c r="C31" s="153"/>
      <c r="D31" s="558">
        <f>'Table 3.42-Vol Flows'!M8/SUM('Table 3.42-Vol Flows'!M8,'Table 3.42-Vol Flows'!M15)</f>
        <v>0.44495485659568684</v>
      </c>
      <c r="E31" s="315" t="s">
        <v>239</v>
      </c>
      <c r="F31" s="153">
        <f>B31*D31</f>
        <v>0.054028741424151504</v>
      </c>
      <c r="H31" s="271">
        <f>L15</f>
        <v>0.006524700101923692</v>
      </c>
      <c r="I31" s="153"/>
      <c r="J31" s="558">
        <f>'Table 3.42-Vol Flows'!K8/SUM('Table 3.42-Vol Flows'!K8,'Table 3.42-Vol Flows'!K15)</f>
        <v>0.41892451567111316</v>
      </c>
      <c r="K31" s="315" t="s">
        <v>239</v>
      </c>
      <c r="L31" s="153">
        <f>H31*J31</f>
        <v>0.0027333568300976453</v>
      </c>
      <c r="N31" s="271">
        <f>R15</f>
        <v>0.43498000679491267</v>
      </c>
      <c r="O31" s="153"/>
      <c r="P31" s="558">
        <f>'Table 3.42-Vol Flows'!L8/SUM('Table 3.42-Vol Flows'!L8,'Table 3.42-Vol Flows'!L15)</f>
        <v>0.5358091981643597</v>
      </c>
      <c r="Q31" s="315" t="s">
        <v>239</v>
      </c>
      <c r="R31" s="153">
        <f>N31*P31</f>
        <v>0.2330662886583099</v>
      </c>
    </row>
    <row r="32" spans="1:18" ht="12.75">
      <c r="A32" s="321" t="s">
        <v>108</v>
      </c>
      <c r="B32" s="153">
        <f>F27</f>
        <v>0.13263191396316126</v>
      </c>
      <c r="C32" s="153"/>
      <c r="D32" s="558">
        <f>'Table 3.42-Vol Flows'!M15/SUM('Table 3.42-Vol Flows'!M8,'Table 3.42-Vol Flows'!M15)</f>
        <v>0.5550451434043131</v>
      </c>
      <c r="E32" s="315" t="s">
        <v>239</v>
      </c>
      <c r="F32" s="153">
        <f>B32*D32</f>
        <v>0.07361669970567136</v>
      </c>
      <c r="H32" s="153">
        <f>L27</f>
        <v>0.005237210772142832</v>
      </c>
      <c r="I32" s="153"/>
      <c r="J32" s="558">
        <f>'Table 3.42-Vol Flows'!K15/SUM('Table 3.42-Vol Flows'!K8,'Table 3.42-Vol Flows'!K15)</f>
        <v>0.5810754843288869</v>
      </c>
      <c r="K32" s="315" t="s">
        <v>239</v>
      </c>
      <c r="L32" s="153">
        <f>H32*J32</f>
        <v>0.00304321478595536</v>
      </c>
      <c r="N32" s="153">
        <f>R27</f>
        <v>0.6892447570717297</v>
      </c>
      <c r="O32" s="153"/>
      <c r="P32" s="558">
        <f>'Table 3.42-Vol Flows'!L15/SUM('Table 3.42-Vol Flows'!L8,'Table 3.42-Vol Flows'!L15)</f>
        <v>0.4641908018356403</v>
      </c>
      <c r="Q32" s="315" t="s">
        <v>239</v>
      </c>
      <c r="R32" s="153">
        <f>N32*P32</f>
        <v>0.31994107644613734</v>
      </c>
    </row>
    <row r="33" spans="1:18" ht="12.75">
      <c r="A33" s="257"/>
      <c r="B33" s="153"/>
      <c r="C33" s="153"/>
      <c r="D33" s="280"/>
      <c r="E33" s="280"/>
      <c r="F33" s="153"/>
      <c r="H33" s="153"/>
      <c r="I33" s="153"/>
      <c r="J33" s="558"/>
      <c r="K33" s="280"/>
      <c r="L33" s="153"/>
      <c r="N33" s="153"/>
      <c r="O33" s="153"/>
      <c r="P33" s="558"/>
      <c r="Q33" s="280"/>
      <c r="R33" s="153"/>
    </row>
    <row r="34" spans="1:18" ht="12.75">
      <c r="A34" s="265" t="s">
        <v>132</v>
      </c>
      <c r="B34" s="266"/>
      <c r="C34" s="266"/>
      <c r="D34" s="559">
        <f>D31+D32</f>
        <v>1</v>
      </c>
      <c r="E34" s="281"/>
      <c r="F34" s="268">
        <f>F31+F32</f>
        <v>0.12764544112982287</v>
      </c>
      <c r="G34" s="120"/>
      <c r="H34" s="266"/>
      <c r="I34" s="266"/>
      <c r="J34" s="559">
        <f>J31+J32</f>
        <v>1</v>
      </c>
      <c r="K34" s="281"/>
      <c r="L34" s="268">
        <f>L31+L32</f>
        <v>0.005776571616053005</v>
      </c>
      <c r="N34" s="266"/>
      <c r="O34" s="266"/>
      <c r="P34" s="559">
        <f>P31+P32</f>
        <v>1</v>
      </c>
      <c r="Q34" s="281"/>
      <c r="R34" s="268">
        <f>R31+R32</f>
        <v>0.5530073651044473</v>
      </c>
    </row>
    <row r="35" ht="12.75" hidden="1"/>
    <row r="36" spans="1:18" ht="12.75" hidden="1">
      <c r="A36" s="14" t="s">
        <v>188</v>
      </c>
      <c r="B36" s="143">
        <f>B9-H9</f>
        <v>0</v>
      </c>
      <c r="D36" s="143">
        <f>SUM(D8:D13)-1</f>
        <v>0</v>
      </c>
      <c r="F36" s="240"/>
      <c r="H36" s="143">
        <f>H9-N9</f>
        <v>0</v>
      </c>
      <c r="J36" s="143">
        <f>SUM(J8:J13)-1</f>
        <v>0</v>
      </c>
      <c r="P36" s="143">
        <f>SUM(P8:P13)-1</f>
        <v>0</v>
      </c>
      <c r="Q36" s="27"/>
      <c r="R36" s="27"/>
    </row>
    <row r="37" spans="2:18" ht="12.75" hidden="1">
      <c r="B37" s="143">
        <f>B21-H21</f>
        <v>0</v>
      </c>
      <c r="D37" s="143">
        <f>SUM(D20:D25)-1</f>
        <v>0</v>
      </c>
      <c r="E37" s="14"/>
      <c r="F37" s="240"/>
      <c r="H37" s="143">
        <f>H21-N21</f>
        <v>0</v>
      </c>
      <c r="J37" s="143">
        <f>SUM(J20:J25)-1</f>
        <v>0</v>
      </c>
      <c r="P37" s="143">
        <f>SUM(P20:P25)-1</f>
        <v>0</v>
      </c>
      <c r="Q37" s="27"/>
      <c r="R37" s="27"/>
    </row>
    <row r="38" spans="2:18" ht="12.75" hidden="1">
      <c r="B38" s="240"/>
      <c r="C38" s="27"/>
      <c r="D38" s="240"/>
      <c r="E38" s="547"/>
      <c r="F38" s="240"/>
      <c r="G38" s="27"/>
      <c r="H38" s="240"/>
      <c r="I38" s="27"/>
      <c r="J38" s="240"/>
      <c r="K38" s="27"/>
      <c r="L38" s="240"/>
      <c r="M38" s="27"/>
      <c r="N38" s="27"/>
      <c r="O38" s="27"/>
      <c r="P38" s="240"/>
      <c r="Q38" s="27"/>
      <c r="R38" s="240"/>
    </row>
    <row r="39" spans="1:4" ht="12.75">
      <c r="A39" s="283"/>
      <c r="B39" s="283"/>
      <c r="C39" s="283"/>
      <c r="D39" s="283"/>
    </row>
    <row r="40" spans="1:3" ht="12.75">
      <c r="A40" t="s">
        <v>235</v>
      </c>
      <c r="B40" s="234"/>
      <c r="C40" s="234"/>
    </row>
    <row r="41" spans="1:21" ht="12.75">
      <c r="A41" s="12" t="s">
        <v>92</v>
      </c>
      <c r="L41" s="27"/>
      <c r="M41" s="27"/>
      <c r="N41" s="27"/>
      <c r="O41" s="27"/>
      <c r="P41" s="27"/>
      <c r="Q41" s="27"/>
      <c r="R41" s="27"/>
      <c r="S41" s="27"/>
      <c r="T41" s="27"/>
      <c r="U41" s="27"/>
    </row>
    <row r="42" ht="12.75">
      <c r="A42" s="12" t="s">
        <v>36</v>
      </c>
    </row>
    <row r="43" ht="12.75">
      <c r="A43" s="12" t="s">
        <v>23</v>
      </c>
    </row>
    <row r="44" ht="12.75">
      <c r="A44" s="12" t="s">
        <v>474</v>
      </c>
    </row>
    <row r="45" ht="12.75">
      <c r="A45" s="12" t="s">
        <v>671</v>
      </c>
    </row>
    <row r="46" ht="12.75">
      <c r="A46" s="12" t="s">
        <v>9</v>
      </c>
    </row>
  </sheetData>
  <sheetProtection/>
  <printOptions horizontalCentered="1"/>
  <pageMargins left="0.75" right="0.75" top="1" bottom="1" header="0.5" footer="0.5"/>
  <pageSetup fitToHeight="1" fitToWidth="1" horizontalDpi="600" verticalDpi="600" orientation="landscape" scale="80" r:id="rId1"/>
  <headerFooter alignWithMargins="0">
    <oddFooter>&amp;L&amp;F</oddFooter>
  </headerFooter>
</worksheet>
</file>

<file path=xl/worksheets/sheet46.xml><?xml version="1.0" encoding="utf-8"?>
<worksheet xmlns="http://schemas.openxmlformats.org/spreadsheetml/2006/main" xmlns:r="http://schemas.openxmlformats.org/officeDocument/2006/relationships">
  <dimension ref="B3:K48"/>
  <sheetViews>
    <sheetView tabSelected="1" zoomScale="55" zoomScaleNormal="55" zoomScalePageLayoutView="0" workbookViewId="0" topLeftCell="A1">
      <selection activeCell="A1" sqref="A1"/>
    </sheetView>
  </sheetViews>
  <sheetFormatPr defaultColWidth="9.140625" defaultRowHeight="12.75"/>
  <cols>
    <col min="3" max="3" width="13.7109375" style="0" customWidth="1"/>
  </cols>
  <sheetData>
    <row r="3" spans="2:3" ht="12.75">
      <c r="B3" s="246" t="s">
        <v>233</v>
      </c>
      <c r="C3" s="247" t="s">
        <v>234</v>
      </c>
    </row>
    <row r="4" spans="2:4" ht="12.75">
      <c r="B4" s="248">
        <v>1</v>
      </c>
      <c r="C4" s="329">
        <f>SUM('Table 3.1-UAA Summary'!E63:N65,'Table 3.1-UAA Summary'!J69:J74,'Table 3.1-UAA Summary'!P69:P76)</f>
        <v>0</v>
      </c>
      <c r="D4" s="12"/>
    </row>
    <row r="5" spans="2:4" ht="12.75">
      <c r="B5" s="248">
        <f>B4+1</f>
        <v>2</v>
      </c>
      <c r="C5" s="329">
        <f>SUM('Table 3.2-Total Fwd Summary'!B37:B39,'Table 3.2-Total Fwd Summary'!K37:K44)</f>
        <v>0</v>
      </c>
      <c r="D5" s="12"/>
    </row>
    <row r="6" spans="2:11" ht="12.75">
      <c r="B6" s="248">
        <f aca="true" t="shared" si="0" ref="B6:B29">B5+1</f>
        <v>3</v>
      </c>
      <c r="C6" s="329">
        <f>SUM('Table 3.3-PARS Fwd Summary'!B32:B34,'Table 3.3-PARS Fwd Summary'!K32:K39)</f>
        <v>0</v>
      </c>
      <c r="D6" s="12"/>
      <c r="F6" s="27"/>
      <c r="G6" s="241"/>
      <c r="H6" s="27"/>
      <c r="I6" s="27"/>
      <c r="J6" s="27"/>
      <c r="K6" s="27"/>
    </row>
    <row r="7" spans="2:11" ht="12.75">
      <c r="B7" s="248">
        <f t="shared" si="0"/>
        <v>4</v>
      </c>
      <c r="C7" s="329">
        <f>SUM('Table 3.4-NonPARS Fwd Summary'!K27:K32)</f>
        <v>0</v>
      </c>
      <c r="D7" s="12"/>
      <c r="F7" s="27"/>
      <c r="G7" s="241"/>
      <c r="H7" s="27"/>
      <c r="I7" s="27"/>
      <c r="J7" s="27"/>
      <c r="K7" s="27"/>
    </row>
    <row r="8" spans="2:11" ht="12.75">
      <c r="B8" s="248">
        <f t="shared" si="0"/>
        <v>5</v>
      </c>
      <c r="C8" s="329">
        <f>SUM('Table 3.5-Total RTS Summary'!B41:B43,'Table 3.5-Total RTS Summary'!K41:K48)</f>
        <v>0</v>
      </c>
      <c r="D8" s="12"/>
      <c r="E8" s="27"/>
      <c r="F8" s="27"/>
      <c r="G8" s="241"/>
      <c r="H8" s="27"/>
      <c r="I8" s="27"/>
      <c r="J8" s="27"/>
      <c r="K8" s="27"/>
    </row>
    <row r="9" spans="2:6" ht="12.75">
      <c r="B9" s="248">
        <f t="shared" si="0"/>
        <v>6</v>
      </c>
      <c r="C9" s="329">
        <f>SUM('Table 3.6-PARS RTS Summary'!B71:B77,'Table 3.6-PARS RTS Summary'!K71:K78)</f>
        <v>0</v>
      </c>
      <c r="E9" s="27"/>
      <c r="F9" s="241"/>
    </row>
    <row r="10" spans="2:3" ht="12.75">
      <c r="B10" s="248">
        <f t="shared" si="0"/>
        <v>7</v>
      </c>
      <c r="C10" s="329">
        <f>SUM('Table 3.7-NonPARS RTS Summary'!K32:K37)</f>
        <v>0</v>
      </c>
    </row>
    <row r="11" spans="2:3" ht="12.75">
      <c r="B11" s="248">
        <f t="shared" si="0"/>
        <v>8</v>
      </c>
      <c r="C11" s="329">
        <f>SUM('Table 3.8-Total Wst Summary'!B21:B23,'Table 3.8-Total Wst Summary'!K21:K26)</f>
        <v>0</v>
      </c>
    </row>
    <row r="12" spans="2:3" ht="12.75">
      <c r="B12" s="248">
        <f t="shared" si="0"/>
        <v>9</v>
      </c>
      <c r="C12" s="329">
        <f>SUM('Table 3.9-PARS Wst Summary'!B50:B55,'Table 3.9-PARS Wst Summary'!K50:K55)</f>
        <v>0</v>
      </c>
    </row>
    <row r="13" spans="2:4" ht="12.75">
      <c r="B13" s="248">
        <f t="shared" si="0"/>
        <v>10</v>
      </c>
      <c r="C13" s="329">
        <f>SUM('Table 3.10-NonPARS Wst Summary'!K22:K25)</f>
        <v>0</v>
      </c>
      <c r="D13" s="12"/>
    </row>
    <row r="14" spans="2:4" ht="12.75">
      <c r="B14" s="248">
        <f t="shared" si="0"/>
        <v>11</v>
      </c>
      <c r="C14" s="329">
        <f>SUM('Table 3.11-Form3547 Costs'!H72:H78,'Table 3.11-Form3547 Costs'!P72:P78)</f>
        <v>-1.6370904631912708E-11</v>
      </c>
      <c r="D14" s="12"/>
    </row>
    <row r="15" spans="2:3" ht="12.75">
      <c r="B15" s="248">
        <f t="shared" si="0"/>
        <v>12</v>
      </c>
      <c r="C15" s="329">
        <f>SUM('Table 3.12-Form3579 Costs'!H14:H15,'Table 3.12-Form3579 Costs'!P14)</f>
        <v>0</v>
      </c>
    </row>
    <row r="16" spans="2:3" ht="12.75">
      <c r="B16" s="248">
        <f t="shared" si="0"/>
        <v>13</v>
      </c>
      <c r="C16" s="329">
        <f>SUM('Table 3.13-COA Costs'!D81:H83)</f>
        <v>0</v>
      </c>
    </row>
    <row r="17" spans="2:3" ht="12.75">
      <c r="B17" s="248">
        <f t="shared" si="0"/>
        <v>14</v>
      </c>
      <c r="C17" s="329">
        <f>SUM('Table 3.14-Route UAA'!N7:P39,'Table 3.14-Route UAA'!N48:Q111,'Table 3.14-Route UAA'!B114:J118)</f>
        <v>9.07789399207104E-10</v>
      </c>
    </row>
    <row r="18" spans="2:4" ht="12.75">
      <c r="B18" s="248">
        <f t="shared" si="0"/>
        <v>15</v>
      </c>
      <c r="C18" s="329">
        <f>SUM('Table 3.15-Route UAA NoPARS'!B114:J118)</f>
        <v>9.322320693172514E-10</v>
      </c>
      <c r="D18" s="12"/>
    </row>
    <row r="19" spans="2:3" ht="12.75">
      <c r="B19" s="248">
        <f t="shared" si="0"/>
        <v>16</v>
      </c>
      <c r="C19" s="329">
        <f>SUM('Table 3.16-Route UAA PARS'!B114:J118)</f>
        <v>9.313225746154785E-10</v>
      </c>
    </row>
    <row r="20" spans="2:3" ht="12.75">
      <c r="B20" s="248">
        <f t="shared" si="0"/>
        <v>17</v>
      </c>
      <c r="C20" s="329">
        <f>SUM('Table 3.17-No Record Mail'!B29:B31,'Table 3.17-No Record Mail'!J29:J31)</f>
        <v>0</v>
      </c>
    </row>
    <row r="21" spans="2:3" ht="12.75">
      <c r="B21" s="248">
        <f t="shared" si="0"/>
        <v>18</v>
      </c>
      <c r="C21" s="329">
        <f>SUM('Table 3.18-Nixie UAA'!B43:D48,'Table 3.18-Nixie UAA'!I43:J43)</f>
        <v>-8.885763236321509E-10</v>
      </c>
    </row>
    <row r="22" spans="2:3" ht="12.75">
      <c r="B22" s="248">
        <f t="shared" si="0"/>
        <v>19</v>
      </c>
      <c r="C22" s="329">
        <f>SUM('Table 3.19-CFS UAA'!H96:H97,'Table 3.19-CFS UAA'!M96:M97,'Table 3.19-CFS UAA'!B99:B100,'Table 3.19-CFS UAA'!J99:J100,'Table 3.19-CFS UAA'!H102:H104,'Table 3.19-CFS UAA'!M102:M104,'Table 3.19-CFS UAA'!B106:B108,'Table 3.19-CFS UAA'!H106:H108,'Table 3.19-CFS UAA'!B110:D111)</f>
        <v>0</v>
      </c>
    </row>
    <row r="23" spans="2:3" ht="12.75">
      <c r="B23" s="248">
        <f t="shared" si="0"/>
        <v>20</v>
      </c>
      <c r="C23" s="329">
        <f>SUM('Table 3.20-CFS Non-CIOSS'!F90:F94,'Table 3.20-CFS Non-CIOSS'!B97:B101,'Table 3.20-CFS Non-CIOSS'!F103:F109,'Table 3.20-CFS Non-CIOSS'!B111:B114)</f>
        <v>0</v>
      </c>
    </row>
    <row r="24" spans="2:3" ht="12.75">
      <c r="B24" s="248">
        <f t="shared" si="0"/>
        <v>21</v>
      </c>
      <c r="C24" s="329">
        <f>SUM('Table 3.21-CFS CIOSS Rejs'!F90:F94,'Table 3.21-CFS CIOSS Rejs'!B97:B101,'Table 3.21-CFS CIOSS Rejs'!F103:F109,'Table 3.21-CFS CIOSS Rejs'!B111:B114)</f>
        <v>0</v>
      </c>
    </row>
    <row r="25" spans="2:4" ht="12.75">
      <c r="B25" s="248">
        <f t="shared" si="0"/>
        <v>22</v>
      </c>
      <c r="C25" s="329"/>
      <c r="D25" s="12"/>
    </row>
    <row r="26" spans="2:4" ht="12.75">
      <c r="B26" s="248">
        <f t="shared" si="0"/>
        <v>23</v>
      </c>
      <c r="C26" s="329">
        <f>SUM('Table 3.23-CIOSS Summary'!C16:J16)</f>
        <v>0</v>
      </c>
      <c r="D26" s="12"/>
    </row>
    <row r="27" spans="2:3" ht="12.75">
      <c r="B27" s="248">
        <f t="shared" si="0"/>
        <v>24</v>
      </c>
      <c r="C27" s="329">
        <f>SUM('Table 3.24-CIOSS Detail'!E42:F45)</f>
        <v>0</v>
      </c>
    </row>
    <row r="28" spans="2:3" ht="12.75">
      <c r="B28" s="248">
        <f t="shared" si="0"/>
        <v>25</v>
      </c>
      <c r="C28" s="329">
        <f>SUM('Table 3.25-REC Summary'!C20:N20)</f>
        <v>0</v>
      </c>
    </row>
    <row r="29" spans="2:3" ht="12.75">
      <c r="B29" s="248">
        <f t="shared" si="0"/>
        <v>26</v>
      </c>
      <c r="C29" s="329">
        <f>SUM('Table 3.26-REC Detail NonACS'!E52:F56,'Table 3.26-REC Detail NonACS'!K52:L52)</f>
        <v>0</v>
      </c>
    </row>
    <row r="30" spans="2:3" ht="12.75">
      <c r="B30" s="248">
        <f>B29+1</f>
        <v>27</v>
      </c>
      <c r="C30" s="329">
        <f>SUM('Table 3.27-REC Detail ACS'!E52:L56)</f>
        <v>0</v>
      </c>
    </row>
    <row r="31" spans="2:3" ht="12.75">
      <c r="B31" s="248">
        <f aca="true" t="shared" si="1" ref="B31:B47">B30+1</f>
        <v>28</v>
      </c>
      <c r="C31" s="329">
        <f>SUM('Table 3.28-REC Volume'!E49:H52)</f>
        <v>0</v>
      </c>
    </row>
    <row r="32" spans="2:3" ht="12.75">
      <c r="B32" s="248">
        <f t="shared" si="1"/>
        <v>29</v>
      </c>
      <c r="C32" s="329"/>
    </row>
    <row r="33" spans="2:3" ht="12.75">
      <c r="B33" s="248">
        <f t="shared" si="1"/>
        <v>30</v>
      </c>
      <c r="C33" s="329">
        <f>SUM('Table 3.30-UAA MP Cost'!B36:F37)</f>
        <v>0</v>
      </c>
    </row>
    <row r="34" spans="2:3" ht="12.75">
      <c r="B34" s="248">
        <f t="shared" si="1"/>
        <v>31</v>
      </c>
      <c r="C34" s="329">
        <f>SUM('Table 3.31-Rating Post Due'!B29:I29)</f>
        <v>0</v>
      </c>
    </row>
    <row r="35" spans="2:3" ht="12.75">
      <c r="B35" s="248">
        <f t="shared" si="1"/>
        <v>32</v>
      </c>
      <c r="C35" s="329">
        <f>SUM('Table 3.32-Accounting Post Due'!C15:F21)</f>
        <v>0</v>
      </c>
    </row>
    <row r="36" spans="2:3" ht="12.75">
      <c r="B36" s="248">
        <f t="shared" si="1"/>
        <v>33</v>
      </c>
      <c r="C36" s="329">
        <f>SUM('Table 3.33-Delivery Post Due'!C22:D35)</f>
        <v>0</v>
      </c>
    </row>
    <row r="37" spans="2:3" ht="12.75">
      <c r="B37" s="248">
        <f t="shared" si="1"/>
        <v>34</v>
      </c>
      <c r="C37" s="329">
        <f>SUM('Table 3.34-Window Post Due'!C15:D19)</f>
        <v>0</v>
      </c>
    </row>
    <row r="38" spans="2:3" ht="12.75">
      <c r="B38" s="248">
        <f t="shared" si="1"/>
        <v>35</v>
      </c>
      <c r="C38" s="329"/>
    </row>
    <row r="39" spans="2:3" ht="12.75">
      <c r="B39" s="248">
        <f t="shared" si="1"/>
        <v>36</v>
      </c>
      <c r="C39" s="329">
        <f>'Table 3.36-Process Form 3546'!F19</f>
        <v>0</v>
      </c>
    </row>
    <row r="40" spans="2:3" ht="12.75">
      <c r="B40" s="248">
        <f t="shared" si="1"/>
        <v>37</v>
      </c>
      <c r="C40" s="329"/>
    </row>
    <row r="41" spans="2:3" ht="12.75">
      <c r="B41" s="248">
        <f t="shared" si="1"/>
        <v>38</v>
      </c>
      <c r="C41" s="329"/>
    </row>
    <row r="42" spans="2:3" ht="12.75">
      <c r="B42" s="248">
        <f t="shared" si="1"/>
        <v>39</v>
      </c>
      <c r="C42" s="329"/>
    </row>
    <row r="43" spans="2:3" ht="12.75">
      <c r="B43" s="248">
        <f t="shared" si="1"/>
        <v>40</v>
      </c>
      <c r="C43" s="329"/>
    </row>
    <row r="44" spans="2:3" ht="12.75">
      <c r="B44" s="248">
        <f t="shared" si="1"/>
        <v>41</v>
      </c>
      <c r="C44" s="329">
        <f>SUM('Table 3.41-Man Notice'!F37:F39)</f>
        <v>0</v>
      </c>
    </row>
    <row r="45" spans="2:3" ht="12.75">
      <c r="B45" s="248">
        <f t="shared" si="1"/>
        <v>42</v>
      </c>
      <c r="C45" s="329">
        <f>SUM('Table 3.42-Vol Flows'!B26:M30)</f>
        <v>-1.000444171950221E-11</v>
      </c>
    </row>
    <row r="46" spans="2:3" ht="12.75">
      <c r="B46" s="248">
        <f t="shared" si="1"/>
        <v>43</v>
      </c>
      <c r="C46" s="329">
        <f>SUM('Table 3.43-Elec Notice'!B36:R38)</f>
        <v>0</v>
      </c>
    </row>
    <row r="47" spans="2:3" ht="12.75">
      <c r="B47" s="249">
        <f t="shared" si="1"/>
        <v>44</v>
      </c>
      <c r="C47" s="330">
        <f>SUM('Table 3.44-One Code ACS'!B36:P37)</f>
        <v>0</v>
      </c>
    </row>
    <row r="48" ht="12.75">
      <c r="C48" s="590">
        <f>SUM(C4:C47)</f>
        <v>1.8563923731562681E-09</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R43"/>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75">
      <c r="A1" s="157" t="s">
        <v>548</v>
      </c>
      <c r="B1" s="19"/>
      <c r="C1" s="19"/>
      <c r="D1" s="19"/>
      <c r="E1" s="19"/>
      <c r="F1" s="19"/>
      <c r="G1" s="19"/>
      <c r="H1" s="19"/>
      <c r="I1" s="19"/>
      <c r="J1" s="19"/>
    </row>
    <row r="2" spans="1:10" s="13" customFormat="1" ht="15.75">
      <c r="A2" s="158" t="s">
        <v>787</v>
      </c>
      <c r="B2" s="19"/>
      <c r="C2" s="19"/>
      <c r="D2" s="19"/>
      <c r="E2" s="19"/>
      <c r="F2" s="19"/>
      <c r="G2" s="19"/>
      <c r="H2" s="19"/>
      <c r="I2" s="19"/>
      <c r="J2" s="19"/>
    </row>
    <row r="3" spans="2:10" ht="25.5">
      <c r="B3" s="168" t="s">
        <v>109</v>
      </c>
      <c r="C3" s="168"/>
      <c r="D3" s="169" t="s">
        <v>104</v>
      </c>
      <c r="E3" s="169"/>
      <c r="F3" s="168" t="s">
        <v>110</v>
      </c>
      <c r="G3" s="168"/>
      <c r="H3" s="170" t="s">
        <v>97</v>
      </c>
      <c r="I3" s="170"/>
      <c r="J3" s="171" t="s">
        <v>105</v>
      </c>
    </row>
    <row r="4" ht="12.75">
      <c r="A4" s="333" t="s">
        <v>595</v>
      </c>
    </row>
    <row r="5" spans="1:18" ht="12.75">
      <c r="A5" s="353" t="s">
        <v>307</v>
      </c>
      <c r="B5" s="32">
        <f>'Table 3.15-Route UAA NoPARS'!D102</f>
        <v>52542.109457018676</v>
      </c>
      <c r="C5" s="241" t="s">
        <v>240</v>
      </c>
      <c r="D5" s="488">
        <f>F5/B5</f>
        <v>0.07369353744772848</v>
      </c>
      <c r="E5" s="27"/>
      <c r="F5" s="489">
        <f>'Table 3.15-Route UAA NoPARS'!J102</f>
        <v>3872.0139108534545</v>
      </c>
      <c r="G5" s="241" t="s">
        <v>240</v>
      </c>
      <c r="H5" s="358">
        <f>B5/$B$24</f>
        <v>0.4665813263072675</v>
      </c>
      <c r="J5" s="22">
        <f>D5*H5</f>
        <v>0.03438402844263544</v>
      </c>
      <c r="N5" s="27"/>
      <c r="O5" s="27"/>
      <c r="P5" s="27"/>
      <c r="Q5" s="27"/>
      <c r="R5" s="27"/>
    </row>
    <row r="6" spans="1:10" ht="12.75">
      <c r="A6" s="239" t="s">
        <v>520</v>
      </c>
      <c r="B6" s="32">
        <f>SUM('Table 3.18-Nixie UAA'!D15,'Table 3.18-Nixie UAA'!D24)</f>
        <v>52542.10945701867</v>
      </c>
      <c r="C6" s="241" t="s">
        <v>241</v>
      </c>
      <c r="D6" s="488">
        <f>F6/B6</f>
        <v>0.10982636708570648</v>
      </c>
      <c r="E6" s="27"/>
      <c r="F6" s="489">
        <f>SUM('Table 3.18-Nixie UAA'!I15,'Table 3.18-Nixie UAA'!I24)</f>
        <v>5770.509000683902</v>
      </c>
      <c r="G6" s="241" t="s">
        <v>241</v>
      </c>
      <c r="H6" s="358">
        <f>B6/$B$24</f>
        <v>0.46658132630726745</v>
      </c>
      <c r="J6" s="22">
        <f>D6*H6</f>
        <v>0.05124293201835775</v>
      </c>
    </row>
    <row r="7" spans="1:10" ht="12.75">
      <c r="A7" s="353" t="s">
        <v>98</v>
      </c>
      <c r="B7" s="32">
        <f>SUM('Table 3.31-Rating Post Due'!B12,'Table 3.31-Rating Post Due'!B20)</f>
        <v>70.99812729053431</v>
      </c>
      <c r="C7" s="241" t="s">
        <v>242</v>
      </c>
      <c r="D7" s="488">
        <f>F7/B7</f>
        <v>0.1774077417690613</v>
      </c>
      <c r="E7" s="27"/>
      <c r="F7" s="489">
        <f>SUM('Table 3.31-Rating Post Due'!H12,'Table 3.31-Rating Post Due'!H20)</f>
        <v>12.595617432446055</v>
      </c>
      <c r="G7" s="241" t="s">
        <v>242</v>
      </c>
      <c r="H7" s="358">
        <f>B7/$B$24</f>
        <v>0.0006304733620116316</v>
      </c>
      <c r="J7" s="22">
        <f>D7*H7</f>
        <v>0.00011185085540003144</v>
      </c>
    </row>
    <row r="8" spans="1:10" ht="12.75">
      <c r="A8" s="353" t="s">
        <v>102</v>
      </c>
      <c r="B8" s="32">
        <f>B5</f>
        <v>52542.109457018676</v>
      </c>
      <c r="C8" s="27"/>
      <c r="D8" s="488">
        <f>F8/B8</f>
        <v>0.18375962877676302</v>
      </c>
      <c r="E8" s="27"/>
      <c r="F8" s="489">
        <f>SUM(F5:F7)</f>
        <v>9655.118528969802</v>
      </c>
      <c r="J8" s="22">
        <f>SUM(J5:J7)</f>
        <v>0.08573881131639322</v>
      </c>
    </row>
    <row r="9" spans="2:11" ht="4.5" customHeight="1">
      <c r="B9" s="32"/>
      <c r="C9" s="27"/>
      <c r="D9" s="488"/>
      <c r="E9" s="27"/>
      <c r="F9" s="489"/>
      <c r="H9" s="6"/>
      <c r="K9" s="6"/>
    </row>
    <row r="10" spans="1:8" ht="12.75">
      <c r="A10" s="15" t="s">
        <v>596</v>
      </c>
      <c r="B10" s="32"/>
      <c r="C10" s="27"/>
      <c r="D10" s="488"/>
      <c r="E10" s="27"/>
      <c r="F10" s="489"/>
      <c r="H10" s="142"/>
    </row>
    <row r="11" spans="1:10" ht="12.75" customHeight="1">
      <c r="A11" s="353" t="s">
        <v>307</v>
      </c>
      <c r="B11" s="32">
        <f>'Table 3.15-Route UAA NoPARS'!D106</f>
        <v>60068.71848343993</v>
      </c>
      <c r="C11" s="241" t="s">
        <v>240</v>
      </c>
      <c r="D11" s="488">
        <f>F11/B11</f>
        <v>0.07289386465868485</v>
      </c>
      <c r="E11" s="27"/>
      <c r="F11" s="489">
        <f>'Table 3.15-Route UAA NoPARS'!J106</f>
        <v>4378.641035352511</v>
      </c>
      <c r="G11" s="241" t="s">
        <v>240</v>
      </c>
      <c r="H11" s="358">
        <f>B11/$B$24</f>
        <v>0.5334186736927324</v>
      </c>
      <c r="J11" s="22">
        <f>D11*H11</f>
        <v>0.038882948606573216</v>
      </c>
    </row>
    <row r="12" spans="1:10" ht="12.75" customHeight="1">
      <c r="A12" s="239" t="s">
        <v>96</v>
      </c>
      <c r="B12" s="32">
        <f>'Table 3.20-CFS Non-CIOSS'!B9</f>
        <v>60068.71848343994</v>
      </c>
      <c r="C12" s="241" t="s">
        <v>243</v>
      </c>
      <c r="D12" s="488">
        <f>F12/B12</f>
        <v>0.23654193194975764</v>
      </c>
      <c r="E12" s="27"/>
      <c r="F12" s="489">
        <f>'Table 3.20-CFS Non-CIOSS'!H9</f>
        <v>14208.770719818998</v>
      </c>
      <c r="G12" s="241" t="s">
        <v>243</v>
      </c>
      <c r="H12" s="358">
        <f>B12/$B$24</f>
        <v>0.5334186736927325</v>
      </c>
      <c r="J12" s="22">
        <f>D12*H12</f>
        <v>0.12617588361335633</v>
      </c>
    </row>
    <row r="13" spans="1:10" ht="12.75">
      <c r="A13" s="239" t="s">
        <v>310</v>
      </c>
      <c r="B13" s="32">
        <f>'Table 3.20-CFS Non-CIOSS'!B45+'Table 3.20-CFS Non-CIOSS'!B56</f>
        <v>912.5192935056232</v>
      </c>
      <c r="C13" s="241" t="s">
        <v>243</v>
      </c>
      <c r="D13" s="488">
        <f>F13/B13</f>
        <v>0.31293044278111753</v>
      </c>
      <c r="E13" s="490"/>
      <c r="F13" s="32">
        <f>'Table 3.20-CFS Non-CIOSS'!H45+'Table 3.20-CFS Non-CIOSS'!H56</f>
        <v>285.5550665630272</v>
      </c>
      <c r="G13" s="241" t="s">
        <v>243</v>
      </c>
      <c r="H13" s="358">
        <f>B13/$B$24</f>
        <v>0.008103299746522644</v>
      </c>
      <c r="J13" s="22">
        <f>D13*H13</f>
        <v>0.0025357691776674482</v>
      </c>
    </row>
    <row r="14" spans="1:10" ht="12.75">
      <c r="A14" s="353" t="s">
        <v>102</v>
      </c>
      <c r="B14" s="32">
        <f>B11</f>
        <v>60068.71848343993</v>
      </c>
      <c r="C14" s="490"/>
      <c r="D14" s="488">
        <f>F14/B14</f>
        <v>0.31418960314489713</v>
      </c>
      <c r="E14" s="490"/>
      <c r="F14" s="489">
        <f>SUM(F11:F13)</f>
        <v>18872.96682173454</v>
      </c>
      <c r="H14" s="142"/>
      <c r="J14" s="83">
        <f>SUM(J11:J13)</f>
        <v>0.167594601397597</v>
      </c>
    </row>
    <row r="15" spans="1:10" ht="4.5" customHeight="1">
      <c r="A15" s="100"/>
      <c r="B15" s="324"/>
      <c r="C15" s="18"/>
      <c r="D15" s="18"/>
      <c r="E15" s="18"/>
      <c r="F15" s="489"/>
      <c r="G15" s="18"/>
      <c r="H15" s="142"/>
      <c r="I15" s="18"/>
      <c r="J15" s="18"/>
    </row>
    <row r="16" spans="1:10" ht="12.75" customHeight="1">
      <c r="A16" s="15" t="s">
        <v>579</v>
      </c>
      <c r="B16" s="324"/>
      <c r="C16" s="18"/>
      <c r="D16" s="18"/>
      <c r="E16" s="18"/>
      <c r="F16" s="489"/>
      <c r="G16" s="18"/>
      <c r="H16" s="142"/>
      <c r="I16" s="18"/>
      <c r="J16" s="18"/>
    </row>
    <row r="17" spans="1:10" ht="12.75" customHeight="1">
      <c r="A17" s="353" t="s">
        <v>320</v>
      </c>
      <c r="B17" s="6">
        <f>SUM(B8,B14)</f>
        <v>112610.8279404586</v>
      </c>
      <c r="D17" s="83">
        <f>'Table 3.30-UAA MP Cost'!D16</f>
        <v>0.2780363455024417</v>
      </c>
      <c r="E17" s="12" t="s">
        <v>586</v>
      </c>
      <c r="F17" s="489">
        <f>B17*D17</f>
        <v>31309.903064569367</v>
      </c>
      <c r="G17" s="18"/>
      <c r="H17" s="358">
        <f>B17/$B$24</f>
        <v>1</v>
      </c>
      <c r="I17" s="18"/>
      <c r="J17" s="22">
        <f>D17*H17</f>
        <v>0.2780363455024417</v>
      </c>
    </row>
    <row r="18" spans="1:10" ht="12.75">
      <c r="A18" s="353" t="s">
        <v>99</v>
      </c>
      <c r="B18" s="6">
        <f>'Table 3.35-PD Vols'!D6</f>
        <v>983.5174207961576</v>
      </c>
      <c r="C18" s="12" t="s">
        <v>244</v>
      </c>
      <c r="D18" s="83">
        <f>'Table 3.32-Accounting Post Due'!I7</f>
        <v>1.542177987898826</v>
      </c>
      <c r="E18" s="12" t="s">
        <v>587</v>
      </c>
      <c r="F18" s="489">
        <f>B18*D18</f>
        <v>1516.7589170668612</v>
      </c>
      <c r="G18" s="18"/>
      <c r="H18" s="358">
        <f>B18/$B$24</f>
        <v>0.008733773108534276</v>
      </c>
      <c r="I18" s="18"/>
      <c r="J18" s="22">
        <f>D18*H18</f>
        <v>0.013469032639284263</v>
      </c>
    </row>
    <row r="19" spans="1:10" ht="12.75">
      <c r="A19" s="353" t="s">
        <v>100</v>
      </c>
      <c r="B19" s="6">
        <f>'Table 3.35-PD Vols'!D7</f>
        <v>665.4057282751475</v>
      </c>
      <c r="C19" s="12" t="s">
        <v>244</v>
      </c>
      <c r="D19" s="83">
        <f>'Table 3.33-Delivery Post Due'!I11</f>
        <v>0.8564071260303598</v>
      </c>
      <c r="E19" s="12" t="s">
        <v>590</v>
      </c>
      <c r="F19" s="489">
        <f>B19*D19</f>
        <v>569.8582073962576</v>
      </c>
      <c r="G19" s="18"/>
      <c r="H19" s="358">
        <f>B19/$B$24</f>
        <v>0.0059088965106177125</v>
      </c>
      <c r="I19" s="18"/>
      <c r="J19" s="22">
        <f>D19*H19</f>
        <v>0.005060421078668937</v>
      </c>
    </row>
    <row r="20" spans="1:10" ht="12.75">
      <c r="A20" s="497" t="s">
        <v>210</v>
      </c>
      <c r="B20" s="6">
        <f>'Table 3.35-PD Vols'!D8</f>
        <v>318.1116925210099</v>
      </c>
      <c r="C20" s="12" t="s">
        <v>244</v>
      </c>
      <c r="D20" s="83">
        <f>'Table 3.34-Window Post Due'!I7</f>
        <v>0.461390876138082</v>
      </c>
      <c r="E20" s="12" t="s">
        <v>591</v>
      </c>
      <c r="F20" s="489">
        <f>B20*D20</f>
        <v>146.7738325220369</v>
      </c>
      <c r="G20" s="18"/>
      <c r="H20" s="358">
        <f>B20/$B$24</f>
        <v>0.002824876597916561</v>
      </c>
      <c r="I20" s="18"/>
      <c r="J20" s="22">
        <f>D20*H20</f>
        <v>0.0013033722884946864</v>
      </c>
    </row>
    <row r="21" spans="1:10" ht="12.75">
      <c r="A21" s="497" t="s">
        <v>101</v>
      </c>
      <c r="B21" s="6">
        <f>'Table 3.36-Process Form 3546'!B4</f>
        <v>418.86018479912485</v>
      </c>
      <c r="C21" s="12" t="s">
        <v>582</v>
      </c>
      <c r="D21" s="83">
        <f>'Table 3.36-Process Form 3546'!J17</f>
        <v>3.4177329363033273</v>
      </c>
      <c r="E21" s="12" t="s">
        <v>582</v>
      </c>
      <c r="F21" s="489">
        <f>B21*D21</f>
        <v>1431.5522492940672</v>
      </c>
      <c r="G21" s="18"/>
      <c r="H21" s="358">
        <f>B21/$B$24</f>
        <v>0.003719537387830869</v>
      </c>
      <c r="I21" s="18"/>
      <c r="J21" s="22">
        <f>D21*H21</f>
        <v>0.012712385438201204</v>
      </c>
    </row>
    <row r="22" spans="1:10" ht="12.75">
      <c r="A22" s="100" t="s">
        <v>102</v>
      </c>
      <c r="B22" s="324">
        <f>B17</f>
        <v>112610.8279404586</v>
      </c>
      <c r="C22" s="18"/>
      <c r="D22" s="83">
        <f>F22/B22</f>
        <v>0.31058155694709083</v>
      </c>
      <c r="E22" s="18"/>
      <c r="F22" s="489">
        <f>SUM(F17:F21)</f>
        <v>34974.84627084859</v>
      </c>
      <c r="G22" s="18"/>
      <c r="H22" s="142"/>
      <c r="I22" s="18"/>
      <c r="J22" s="552">
        <f>SUM(J17:J21)</f>
        <v>0.31058155694709083</v>
      </c>
    </row>
    <row r="23" spans="1:10" ht="4.5" customHeight="1">
      <c r="A23" s="91"/>
      <c r="B23" s="324"/>
      <c r="C23" s="18"/>
      <c r="D23" s="83"/>
      <c r="E23" s="18"/>
      <c r="F23" s="489"/>
      <c r="G23" s="18"/>
      <c r="H23" s="142"/>
      <c r="I23" s="18"/>
      <c r="J23" s="18"/>
    </row>
    <row r="24" spans="1:10" ht="12.75">
      <c r="A24" s="91" t="s">
        <v>494</v>
      </c>
      <c r="B24" s="393">
        <f>SUM(B8,B14)</f>
        <v>112610.8279404586</v>
      </c>
      <c r="C24" s="18"/>
      <c r="D24" s="83"/>
      <c r="E24" s="18"/>
      <c r="F24" s="508">
        <f>SUM(F8,F14,F22)</f>
        <v>63502.93162155293</v>
      </c>
      <c r="G24" s="18"/>
      <c r="H24" s="142"/>
      <c r="I24" s="18"/>
      <c r="J24" s="553">
        <f>SUM(J8,J14,J22)</f>
        <v>0.563914969661081</v>
      </c>
    </row>
    <row r="25" spans="1:10" ht="12.75" hidden="1">
      <c r="A25" s="91"/>
      <c r="B25" s="324"/>
      <c r="C25" s="18"/>
      <c r="D25" s="83"/>
      <c r="E25" s="18"/>
      <c r="F25" s="175"/>
      <c r="G25" s="18"/>
      <c r="H25" s="142"/>
      <c r="I25" s="18"/>
      <c r="J25" s="18"/>
    </row>
    <row r="26" spans="1:10" ht="12.75" hidden="1">
      <c r="A26" s="5"/>
      <c r="B26" s="240"/>
      <c r="F26" s="359"/>
      <c r="H26" s="6"/>
      <c r="J26" s="6"/>
    </row>
    <row r="27" spans="1:11" ht="12.75" hidden="1">
      <c r="A27" s="23" t="s">
        <v>191</v>
      </c>
      <c r="B27" s="240"/>
      <c r="G27" s="482" t="s">
        <v>311</v>
      </c>
      <c r="H27" s="6">
        <f>SUM('Table 3.15-Route UAA NoPARS'!J102,'Table 3.15-Route UAA NoPARS'!J106)</f>
        <v>8250.654946205965</v>
      </c>
      <c r="J27" s="6">
        <f>SUM(F5,F11)</f>
        <v>8250.654946205965</v>
      </c>
      <c r="K27" s="143">
        <f aca="true" t="shared" si="0" ref="K27:K32">H27-J27</f>
        <v>0</v>
      </c>
    </row>
    <row r="28" spans="1:11" ht="12.75" hidden="1">
      <c r="A28" s="5"/>
      <c r="B28" s="240"/>
      <c r="G28" s="46" t="s">
        <v>312</v>
      </c>
      <c r="H28" s="6">
        <f>SUM('Table 3.18-Nixie UAA'!I15,'Table 3.18-Nixie UAA'!I24)+SUM('Table 3.31-Rating Post Due'!H12,'Table 3.31-Rating Post Due'!H20)</f>
        <v>5783.104618116348</v>
      </c>
      <c r="J28" s="6">
        <f>SUM(F6:F7)</f>
        <v>5783.104618116348</v>
      </c>
      <c r="K28" s="143">
        <f t="shared" si="0"/>
        <v>0</v>
      </c>
    </row>
    <row r="29" spans="1:11" ht="12.75" hidden="1">
      <c r="A29" s="5"/>
      <c r="B29" s="240"/>
      <c r="G29" s="46" t="s">
        <v>313</v>
      </c>
      <c r="H29" s="6">
        <f>SUM('Table 3.20-CFS Non-CIOSS'!H9,'Table 3.20-CFS Non-CIOSS'!H45,'Table 3.20-CFS Non-CIOSS'!H56)</f>
        <v>14494.325786382025</v>
      </c>
      <c r="J29" s="6">
        <f>SUM(F12:F13)</f>
        <v>14494.325786382025</v>
      </c>
      <c r="K29" s="143">
        <f t="shared" si="0"/>
        <v>0</v>
      </c>
    </row>
    <row r="30" spans="1:11" ht="12.75" hidden="1">
      <c r="A30" s="5"/>
      <c r="B30" s="240"/>
      <c r="G30" s="67" t="s">
        <v>518</v>
      </c>
      <c r="H30" s="32">
        <f>'Table 3.30-UAA MP Cost'!F16</f>
        <v>31309.903064569364</v>
      </c>
      <c r="J30" s="6">
        <f>F17</f>
        <v>31309.903064569367</v>
      </c>
      <c r="K30" s="143">
        <f t="shared" si="0"/>
        <v>0</v>
      </c>
    </row>
    <row r="31" spans="1:11" ht="12.75" hidden="1">
      <c r="A31" s="5"/>
      <c r="G31" s="67" t="s">
        <v>315</v>
      </c>
      <c r="H31" s="32">
        <f>SUM(F18:F21)</f>
        <v>3664.943206279223</v>
      </c>
      <c r="I31" s="27"/>
      <c r="J31" s="32">
        <f>SUM(F18:F21)</f>
        <v>3664.943206279223</v>
      </c>
      <c r="K31" s="143">
        <f t="shared" si="0"/>
        <v>0</v>
      </c>
    </row>
    <row r="32" spans="1:11" ht="12.75" hidden="1">
      <c r="A32" s="5"/>
      <c r="B32" s="240"/>
      <c r="G32" s="46" t="s">
        <v>314</v>
      </c>
      <c r="H32" s="6">
        <f>SUM(H27:H31)</f>
        <v>63502.93162155293</v>
      </c>
      <c r="J32" s="6">
        <f>SUM(J27:J31)</f>
        <v>63502.93162155293</v>
      </c>
      <c r="K32" s="143">
        <f t="shared" si="0"/>
        <v>0</v>
      </c>
    </row>
    <row r="33" spans="1:8" ht="12.75">
      <c r="A33" s="283"/>
      <c r="B33" s="283"/>
      <c r="C33" s="283"/>
      <c r="D33" s="283"/>
      <c r="E33" s="283"/>
      <c r="F33" s="283"/>
      <c r="H33" s="240"/>
    </row>
    <row r="34" ht="12.75">
      <c r="A34" s="284" t="s">
        <v>235</v>
      </c>
    </row>
    <row r="35" spans="1:4" ht="12.75">
      <c r="A35" s="241" t="s">
        <v>597</v>
      </c>
      <c r="C35" s="241" t="s">
        <v>684</v>
      </c>
      <c r="D35" s="12"/>
    </row>
    <row r="36" spans="1:10" ht="12.75">
      <c r="A36" s="241" t="s">
        <v>598</v>
      </c>
      <c r="C36" s="241" t="s">
        <v>685</v>
      </c>
      <c r="D36" s="12"/>
      <c r="F36" s="6"/>
      <c r="H36" s="234"/>
      <c r="J36" s="6"/>
    </row>
    <row r="37" spans="1:10" ht="12.75">
      <c r="A37" s="241" t="s">
        <v>581</v>
      </c>
      <c r="C37" s="241" t="s">
        <v>686</v>
      </c>
      <c r="D37" s="12"/>
      <c r="F37" s="6"/>
      <c r="H37" s="234"/>
      <c r="J37" s="6"/>
    </row>
    <row r="38" spans="1:10" ht="12.75">
      <c r="A38" s="241" t="s">
        <v>599</v>
      </c>
      <c r="C38" s="241" t="s">
        <v>687</v>
      </c>
      <c r="F38" s="6"/>
      <c r="H38" s="234"/>
      <c r="J38" s="6"/>
    </row>
    <row r="39" spans="1:10" ht="12.75">
      <c r="A39" s="241" t="s">
        <v>600</v>
      </c>
      <c r="C39" s="241" t="s">
        <v>688</v>
      </c>
      <c r="F39" s="6"/>
      <c r="H39" s="234"/>
      <c r="J39" s="6"/>
    </row>
    <row r="40" spans="1:10" ht="12.75">
      <c r="A40" s="241" t="s">
        <v>22</v>
      </c>
      <c r="C40" s="241" t="s">
        <v>689</v>
      </c>
      <c r="J40" s="6"/>
    </row>
    <row r="41" ht="12.75">
      <c r="A41" s="241" t="s">
        <v>601</v>
      </c>
    </row>
    <row r="42" ht="12.75">
      <c r="J42" s="6"/>
    </row>
    <row r="43" ht="12.75">
      <c r="J43" s="358"/>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56"/>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75">
      <c r="A1" s="157" t="s">
        <v>549</v>
      </c>
      <c r="B1" s="19"/>
      <c r="C1" s="19"/>
      <c r="D1" s="19"/>
      <c r="E1" s="19"/>
      <c r="F1" s="19"/>
      <c r="G1" s="19"/>
      <c r="H1" s="19"/>
      <c r="I1" s="19"/>
      <c r="J1" s="19"/>
    </row>
    <row r="2" spans="1:10" s="13" customFormat="1" ht="15.75">
      <c r="A2" s="158" t="s">
        <v>787</v>
      </c>
      <c r="B2" s="19"/>
      <c r="C2" s="19"/>
      <c r="D2" s="19"/>
      <c r="E2" s="19"/>
      <c r="F2" s="19"/>
      <c r="G2" s="19"/>
      <c r="H2" s="19"/>
      <c r="I2" s="19"/>
      <c r="J2" s="19"/>
    </row>
    <row r="3" spans="2:10" ht="25.5">
      <c r="B3" s="168" t="s">
        <v>109</v>
      </c>
      <c r="C3" s="168"/>
      <c r="D3" s="169" t="s">
        <v>104</v>
      </c>
      <c r="E3" s="169"/>
      <c r="F3" s="168" t="s">
        <v>110</v>
      </c>
      <c r="G3" s="168"/>
      <c r="H3" s="170" t="s">
        <v>97</v>
      </c>
      <c r="I3" s="170"/>
      <c r="J3" s="171" t="s">
        <v>105</v>
      </c>
    </row>
    <row r="4" spans="1:10" ht="12.75" customHeight="1">
      <c r="A4" s="333"/>
      <c r="B4" s="27"/>
      <c r="C4" s="27"/>
      <c r="D4" s="27"/>
      <c r="E4" s="27"/>
      <c r="F4" s="27"/>
      <c r="G4" s="27"/>
      <c r="H4" s="27"/>
      <c r="I4" s="27"/>
      <c r="J4" s="27"/>
    </row>
    <row r="5" spans="1:10" ht="12.75" customHeight="1">
      <c r="A5" s="493" t="s">
        <v>574</v>
      </c>
      <c r="B5" s="32"/>
      <c r="C5" s="27"/>
      <c r="D5" s="488"/>
      <c r="E5" s="27"/>
      <c r="F5" s="489"/>
      <c r="G5" s="27"/>
      <c r="H5" s="27"/>
      <c r="I5" s="27"/>
      <c r="J5" s="27"/>
    </row>
    <row r="6" spans="1:10" ht="12.75" customHeight="1">
      <c r="A6" s="239" t="s">
        <v>12</v>
      </c>
      <c r="B6" s="32">
        <f>'Table 3.6-PARS RTS Summary'!B10</f>
        <v>17772.625629194474</v>
      </c>
      <c r="C6" s="27"/>
      <c r="D6" s="488">
        <f aca="true" t="shared" si="0" ref="D6:D12">F6/B6</f>
        <v>0.08469413230838814</v>
      </c>
      <c r="E6" s="27"/>
      <c r="F6" s="489">
        <f>'Table 3.6-PARS RTS Summary'!F10</f>
        <v>1505.2371065064467</v>
      </c>
      <c r="G6" s="27"/>
      <c r="H6" s="134">
        <f aca="true" t="shared" si="1" ref="H6:H12">B6/$B$38</f>
        <v>0.012218944745684229</v>
      </c>
      <c r="I6" s="27"/>
      <c r="J6" s="500">
        <f aca="true" t="shared" si="2" ref="J6:J11">D6*H6</f>
        <v>0.0010348729229598642</v>
      </c>
    </row>
    <row r="7" spans="1:10" ht="12.75" customHeight="1">
      <c r="A7" s="353" t="s">
        <v>506</v>
      </c>
      <c r="B7" s="32">
        <f>'Table 3.6-PARS RTS Summary'!B18</f>
        <v>160356.03966376703</v>
      </c>
      <c r="C7" s="27"/>
      <c r="D7" s="488">
        <f t="shared" si="0"/>
        <v>0.09015179842771708</v>
      </c>
      <c r="E7" s="27"/>
      <c r="F7" s="489">
        <f>'Table 3.6-PARS RTS Summary'!F18</f>
        <v>14456.38536443493</v>
      </c>
      <c r="G7" s="27"/>
      <c r="H7" s="134">
        <f t="shared" si="1"/>
        <v>0.11024716489102826</v>
      </c>
      <c r="I7" s="27"/>
      <c r="J7" s="500">
        <f t="shared" si="2"/>
        <v>0.009938980186483266</v>
      </c>
    </row>
    <row r="8" spans="1:10" ht="12.75" customHeight="1">
      <c r="A8" s="353" t="s">
        <v>507</v>
      </c>
      <c r="B8" s="32">
        <f>'Table 3.6-PARS RTS Summary'!B28</f>
        <v>86345.55981895147</v>
      </c>
      <c r="C8" s="27"/>
      <c r="D8" s="488">
        <f t="shared" si="0"/>
        <v>0.1623306544993102</v>
      </c>
      <c r="E8" s="27"/>
      <c r="F8" s="489">
        <f>'Table 3.6-PARS RTS Summary'!F28</f>
        <v>14016.531238519732</v>
      </c>
      <c r="G8" s="27"/>
      <c r="H8" s="134">
        <f t="shared" si="1"/>
        <v>0.05936385801824598</v>
      </c>
      <c r="I8" s="27"/>
      <c r="J8" s="500">
        <f t="shared" si="2"/>
        <v>0.009636573925705993</v>
      </c>
    </row>
    <row r="9" spans="1:10" ht="12.75" customHeight="1">
      <c r="A9" s="353" t="s">
        <v>510</v>
      </c>
      <c r="B9" s="32">
        <f>'Table 3.6-PARS RTS Summary'!B38</f>
        <v>985150.8279070624</v>
      </c>
      <c r="C9" s="27"/>
      <c r="D9" s="488">
        <f t="shared" si="0"/>
        <v>0.052478936476960135</v>
      </c>
      <c r="E9" s="27"/>
      <c r="F9" s="489">
        <f>'Table 3.6-PARS RTS Summary'!F38</f>
        <v>51699.66771795941</v>
      </c>
      <c r="G9" s="27"/>
      <c r="H9" s="134">
        <f t="shared" si="1"/>
        <v>0.6773058625951069</v>
      </c>
      <c r="I9" s="27"/>
      <c r="J9" s="500">
        <f t="shared" si="2"/>
        <v>0.035544291338601305</v>
      </c>
    </row>
    <row r="10" spans="1:10" ht="12.75" customHeight="1">
      <c r="A10" s="353" t="s">
        <v>508</v>
      </c>
      <c r="B10" s="32">
        <f>'Table 3.6-PARS RTS Summary'!B49</f>
        <v>2574.3508301829193</v>
      </c>
      <c r="C10" s="27"/>
      <c r="D10" s="488">
        <f t="shared" si="0"/>
        <v>0.06397479978632495</v>
      </c>
      <c r="E10" s="27"/>
      <c r="F10" s="494">
        <f>'Table 3.6-PARS RTS Summary'!F49</f>
        <v>164.6935789407117</v>
      </c>
      <c r="G10" s="27"/>
      <c r="H10" s="134">
        <f t="shared" si="1"/>
        <v>0.0017699045265624671</v>
      </c>
      <c r="I10" s="27"/>
      <c r="J10" s="500">
        <f t="shared" si="2"/>
        <v>0.00011322928772774408</v>
      </c>
    </row>
    <row r="11" spans="1:10" ht="12.75" customHeight="1">
      <c r="A11" s="353" t="s">
        <v>509</v>
      </c>
      <c r="B11" s="32">
        <f>'Table 3.6-PARS RTS Summary'!B59</f>
        <v>95009.94515084181</v>
      </c>
      <c r="C11" s="27"/>
      <c r="D11" s="488">
        <f t="shared" si="0"/>
        <v>0.11506927114754031</v>
      </c>
      <c r="E11" s="27"/>
      <c r="F11" s="494">
        <f>'Table 3.6-PARS RTS Summary'!F59</f>
        <v>10932.72514027515</v>
      </c>
      <c r="G11" s="27"/>
      <c r="H11" s="134">
        <f t="shared" si="1"/>
        <v>0.06532075194233655</v>
      </c>
      <c r="I11" s="27"/>
      <c r="J11" s="500">
        <f t="shared" si="2"/>
        <v>0.0075164113168139455</v>
      </c>
    </row>
    <row r="12" spans="1:10" ht="12.75" customHeight="1">
      <c r="A12" s="353" t="s">
        <v>102</v>
      </c>
      <c r="B12" s="32">
        <f>SUM(B6:B11)</f>
        <v>1347209.349</v>
      </c>
      <c r="C12" s="27"/>
      <c r="D12" s="488">
        <f t="shared" si="0"/>
        <v>0.06886475380793723</v>
      </c>
      <c r="E12" s="27"/>
      <c r="F12" s="494">
        <f>SUM(F6:F11)</f>
        <v>92775.24014663638</v>
      </c>
      <c r="G12" s="27"/>
      <c r="H12" s="134">
        <f t="shared" si="1"/>
        <v>0.9262264867189643</v>
      </c>
      <c r="I12" s="27"/>
      <c r="J12" s="500">
        <f>SUM(J6:J11)</f>
        <v>0.06378435897829211</v>
      </c>
    </row>
    <row r="13" spans="1:10" ht="4.5" customHeight="1">
      <c r="A13" s="353"/>
      <c r="B13" s="32"/>
      <c r="C13" s="27"/>
      <c r="D13" s="27"/>
      <c r="E13" s="27"/>
      <c r="F13" s="494"/>
      <c r="G13" s="27"/>
      <c r="H13" s="486"/>
      <c r="I13" s="27"/>
      <c r="J13" s="500"/>
    </row>
    <row r="14" spans="1:10" ht="12.75" customHeight="1">
      <c r="A14" s="353" t="s">
        <v>517</v>
      </c>
      <c r="B14" s="32"/>
      <c r="C14" s="27"/>
      <c r="D14" s="27"/>
      <c r="E14" s="27"/>
      <c r="F14" s="494"/>
      <c r="G14" s="27"/>
      <c r="H14" s="486"/>
      <c r="I14" s="27"/>
      <c r="J14" s="500"/>
    </row>
    <row r="15" spans="1:10" ht="12.75" customHeight="1">
      <c r="A15" s="501" t="s">
        <v>320</v>
      </c>
      <c r="B15" s="32">
        <f>'Table 3.6-PARS RTS Summary'!B62</f>
        <v>1347209.349</v>
      </c>
      <c r="C15" s="27"/>
      <c r="D15" s="488">
        <f>F15/B15</f>
        <v>0.3099221199642445</v>
      </c>
      <c r="E15" s="27"/>
      <c r="F15" s="494">
        <f>'Table 3.6-PARS RTS Summary'!F62</f>
        <v>417529.9774777297</v>
      </c>
      <c r="G15" s="27"/>
      <c r="H15" s="134">
        <f>B15/$B$38</f>
        <v>0.9262264867189643</v>
      </c>
      <c r="I15" s="27"/>
      <c r="J15" s="500">
        <f>D15*H15</f>
        <v>0.2870580763309756</v>
      </c>
    </row>
    <row r="16" spans="1:10" ht="12.75" customHeight="1">
      <c r="A16" s="501" t="s">
        <v>99</v>
      </c>
      <c r="B16" s="32">
        <f>'Table 3.6-PARS RTS Summary'!B63</f>
        <v>7846.497010377805</v>
      </c>
      <c r="C16" s="27"/>
      <c r="D16" s="488">
        <f>F16/B16</f>
        <v>1.5421779878988264</v>
      </c>
      <c r="E16" s="27"/>
      <c r="F16" s="494">
        <f>'Table 3.6-PARS RTS Summary'!F63</f>
        <v>12100.6949715186</v>
      </c>
      <c r="G16" s="27"/>
      <c r="H16" s="134">
        <f>B16/$B$38</f>
        <v>0.00539458352509777</v>
      </c>
      <c r="I16" s="27"/>
      <c r="J16" s="500">
        <f>D16*H16</f>
        <v>0.008319407966287436</v>
      </c>
    </row>
    <row r="17" spans="1:10" ht="12.75" customHeight="1">
      <c r="A17" s="501" t="s">
        <v>100</v>
      </c>
      <c r="B17" s="32">
        <f>'Table 3.6-PARS RTS Summary'!B64</f>
        <v>6494.0090040452205</v>
      </c>
      <c r="C17" s="27"/>
      <c r="D17" s="488">
        <f>F17/B17</f>
        <v>0.8564071260303604</v>
      </c>
      <c r="E17" s="27"/>
      <c r="F17" s="494">
        <f>'Table 3.6-PARS RTS Summary'!F64</f>
        <v>5561.51558756965</v>
      </c>
      <c r="G17" s="27"/>
      <c r="H17" s="134">
        <f>B17/$B$38</f>
        <v>0.0044647278828660545</v>
      </c>
      <c r="I17" s="27"/>
      <c r="J17" s="500">
        <f>D17*H17</f>
        <v>0.0038236247746729333</v>
      </c>
    </row>
    <row r="18" spans="1:10" ht="12.75" customHeight="1">
      <c r="A18" s="502" t="s">
        <v>210</v>
      </c>
      <c r="B18" s="32">
        <f>'Table 3.6-PARS RTS Summary'!B65</f>
        <v>746.0384946871881</v>
      </c>
      <c r="C18" s="27"/>
      <c r="D18" s="488">
        <f>F18/B18</f>
        <v>0.46139087613808194</v>
      </c>
      <c r="E18" s="27"/>
      <c r="F18" s="494">
        <f>'Table 3.6-PARS RTS Summary'!F65</f>
        <v>344.2153546964575</v>
      </c>
      <c r="G18" s="27"/>
      <c r="H18" s="134">
        <f>B18/$B$38</f>
        <v>0.0005129125732419624</v>
      </c>
      <c r="I18" s="27"/>
      <c r="J18" s="500">
        <f>D18*H18</f>
        <v>0.00023665318155034716</v>
      </c>
    </row>
    <row r="19" spans="1:10" ht="12.75" customHeight="1">
      <c r="A19" s="503" t="s">
        <v>102</v>
      </c>
      <c r="B19" s="32">
        <f>B15</f>
        <v>1347209.349</v>
      </c>
      <c r="C19" s="27"/>
      <c r="D19" s="488">
        <f>F19/B19</f>
        <v>0.3232878421715246</v>
      </c>
      <c r="E19" s="27"/>
      <c r="F19" s="494">
        <f>SUM(F15:F18)</f>
        <v>435536.4033915144</v>
      </c>
      <c r="G19" s="27"/>
      <c r="H19" s="134">
        <f>B19/$B$38</f>
        <v>0.9262264867189643</v>
      </c>
      <c r="I19" s="27"/>
      <c r="J19" s="500">
        <f>SUM(J15:J18)</f>
        <v>0.2994377622534863</v>
      </c>
    </row>
    <row r="20" spans="1:10" ht="4.5" customHeight="1">
      <c r="A20" s="353"/>
      <c r="B20" s="32"/>
      <c r="C20" s="27"/>
      <c r="D20" s="27"/>
      <c r="E20" s="27"/>
      <c r="F20" s="494"/>
      <c r="G20" s="27"/>
      <c r="H20" s="486"/>
      <c r="I20" s="27"/>
      <c r="J20" s="500"/>
    </row>
    <row r="21" spans="1:10" ht="12.75" customHeight="1">
      <c r="A21" s="353" t="s">
        <v>504</v>
      </c>
      <c r="B21" s="32">
        <f>B12</f>
        <v>1347209.349</v>
      </c>
      <c r="C21" s="27"/>
      <c r="D21" s="488">
        <f>F21/B21</f>
        <v>0.3921525959794618</v>
      </c>
      <c r="E21" s="27"/>
      <c r="F21" s="494">
        <f>SUM(F12,F19)</f>
        <v>528311.6435381507</v>
      </c>
      <c r="G21" s="27"/>
      <c r="H21" s="134">
        <f>B21/$B$38</f>
        <v>0.9262264867189643</v>
      </c>
      <c r="I21" s="27"/>
      <c r="J21" s="500">
        <f>J12+J19</f>
        <v>0.3632221212317784</v>
      </c>
    </row>
    <row r="22" spans="1:10" ht="12.75" customHeight="1">
      <c r="A22" s="241"/>
      <c r="B22" s="32"/>
      <c r="C22" s="27"/>
      <c r="D22" s="27"/>
      <c r="E22" s="27"/>
      <c r="F22" s="494"/>
      <c r="G22" s="27"/>
      <c r="H22" s="486"/>
      <c r="I22" s="27"/>
      <c r="J22" s="500"/>
    </row>
    <row r="23" spans="1:10" ht="12.75" customHeight="1">
      <c r="A23" s="333" t="s">
        <v>479</v>
      </c>
      <c r="B23" s="32"/>
      <c r="C23" s="27"/>
      <c r="D23" s="488"/>
      <c r="E23" s="27"/>
      <c r="F23" s="489"/>
      <c r="G23" s="27"/>
      <c r="H23" s="486"/>
      <c r="I23" s="27"/>
      <c r="J23" s="500"/>
    </row>
    <row r="24" spans="1:10" ht="12.75" customHeight="1">
      <c r="A24" s="353" t="s">
        <v>519</v>
      </c>
      <c r="B24" s="32">
        <f>'Table 3.7-NonPARS RTS Summary'!B8</f>
        <v>67143.70473121344</v>
      </c>
      <c r="C24" s="27"/>
      <c r="D24" s="488">
        <f>F24/B24</f>
        <v>0.46482960546443514</v>
      </c>
      <c r="E24" s="27"/>
      <c r="F24" s="489">
        <f>'Table 3.7-NonPARS RTS Summary'!F8</f>
        <v>31210.38177963047</v>
      </c>
      <c r="G24" s="27"/>
      <c r="H24" s="134">
        <f>B24/$B$38</f>
        <v>0.04616229673929269</v>
      </c>
      <c r="I24" s="27"/>
      <c r="J24" s="500">
        <f>D24*H24</f>
        <v>0.0214576021806576</v>
      </c>
    </row>
    <row r="25" spans="1:10" ht="12.75" customHeight="1">
      <c r="A25" s="353" t="s">
        <v>521</v>
      </c>
      <c r="B25" s="32">
        <f>'Table 3.7-NonPARS RTS Summary'!B14</f>
        <v>35876.63230197039</v>
      </c>
      <c r="C25" s="27"/>
      <c r="D25" s="488">
        <f>F25/B25</f>
        <v>0.35553431365333815</v>
      </c>
      <c r="E25" s="27"/>
      <c r="F25" s="494">
        <f>'Table 3.7-NonPARS RTS Summary'!F14</f>
        <v>12755.373841674225</v>
      </c>
      <c r="G25" s="27"/>
      <c r="H25" s="134">
        <f>B25/$B$38</f>
        <v>0.024665718892930684</v>
      </c>
      <c r="I25" s="27"/>
      <c r="J25" s="500">
        <f>D25*H25</f>
        <v>0.008769509437364287</v>
      </c>
    </row>
    <row r="26" spans="1:10" ht="12.75" customHeight="1">
      <c r="A26" s="353" t="s">
        <v>522</v>
      </c>
      <c r="B26" s="32">
        <f>'Table 3.7-NonPARS RTS Summary'!B20</f>
        <v>4284.267430090634</v>
      </c>
      <c r="C26" s="27"/>
      <c r="D26" s="488">
        <f>F26/B26</f>
        <v>0.11184490218950005</v>
      </c>
      <c r="E26" s="27"/>
      <c r="F26" s="494">
        <f>'Table 3.7-NonPARS RTS Summary'!F20</f>
        <v>479.1734716721477</v>
      </c>
      <c r="G26" s="27"/>
      <c r="H26" s="134">
        <f>B26/$B$38</f>
        <v>0.0029454976488122145</v>
      </c>
      <c r="I26" s="27"/>
      <c r="J26" s="500">
        <f>D26*H26</f>
        <v>0.0003294388964308045</v>
      </c>
    </row>
    <row r="27" spans="1:10" ht="12.75" customHeight="1">
      <c r="A27" s="353" t="s">
        <v>102</v>
      </c>
      <c r="B27" s="32">
        <f>SUM(B24:B26)</f>
        <v>107304.60446327447</v>
      </c>
      <c r="C27" s="27"/>
      <c r="D27" s="488">
        <f>F27/B27</f>
        <v>0.4141940536036208</v>
      </c>
      <c r="E27" s="27"/>
      <c r="F27" s="494">
        <f>SUM(F24:F26)</f>
        <v>44444.92909297684</v>
      </c>
      <c r="G27" s="27"/>
      <c r="H27" s="134">
        <f>B27/$B$38</f>
        <v>0.0737735132810356</v>
      </c>
      <c r="I27" s="27"/>
      <c r="J27" s="500">
        <f>SUM(J24:J26)</f>
        <v>0.03055655051445269</v>
      </c>
    </row>
    <row r="28" spans="1:10" ht="4.5" customHeight="1">
      <c r="A28" s="353"/>
      <c r="B28" s="32"/>
      <c r="C28" s="27"/>
      <c r="D28" s="488"/>
      <c r="E28" s="27"/>
      <c r="F28" s="494"/>
      <c r="G28" s="27"/>
      <c r="H28" s="486"/>
      <c r="I28" s="27"/>
      <c r="J28" s="500"/>
    </row>
    <row r="29" spans="1:10" ht="12.75" customHeight="1">
      <c r="A29" s="353" t="s">
        <v>517</v>
      </c>
      <c r="B29" s="32"/>
      <c r="C29" s="27"/>
      <c r="D29" s="488"/>
      <c r="E29" s="27"/>
      <c r="F29" s="494"/>
      <c r="G29" s="27"/>
      <c r="H29" s="486"/>
      <c r="I29" s="27"/>
      <c r="J29" s="500"/>
    </row>
    <row r="30" spans="1:10" ht="12.75" customHeight="1">
      <c r="A30" s="501" t="s">
        <v>320</v>
      </c>
      <c r="B30" s="32">
        <f>'Table 3.7-NonPARS RTS Summary'!B23</f>
        <v>107304.60446327447</v>
      </c>
      <c r="C30" s="27"/>
      <c r="D30" s="488">
        <f>F30/B30</f>
        <v>1.8152720117316354</v>
      </c>
      <c r="E30" s="27"/>
      <c r="F30" s="494">
        <f>'Table 3.7-NonPARS RTS Summary'!F23</f>
        <v>194787.04521211568</v>
      </c>
      <c r="G30" s="27"/>
      <c r="H30" s="134">
        <f>B30/$B$38</f>
        <v>0.0737735132810356</v>
      </c>
      <c r="I30" s="27"/>
      <c r="J30" s="500">
        <f>D30*H30</f>
        <v>0.133918993866176</v>
      </c>
    </row>
    <row r="31" spans="1:10" ht="12.75" customHeight="1">
      <c r="A31" s="501" t="s">
        <v>99</v>
      </c>
      <c r="B31" s="32">
        <f>'Table 3.7-NonPARS RTS Summary'!B24</f>
        <v>9436.485801506175</v>
      </c>
      <c r="C31" s="27"/>
      <c r="D31" s="488">
        <f>F31/B31</f>
        <v>1.5421779878988264</v>
      </c>
      <c r="E31" s="27"/>
      <c r="F31" s="494">
        <f>'Table 3.7-NonPARS RTS Summary'!F24</f>
        <v>14552.740686202636</v>
      </c>
      <c r="G31" s="27"/>
      <c r="H31" s="134">
        <f>B31/$B$38</f>
        <v>0.006487724493145909</v>
      </c>
      <c r="I31" s="27"/>
      <c r="J31" s="500">
        <f>D31*H31</f>
        <v>0.010005225904881692</v>
      </c>
    </row>
    <row r="32" spans="1:10" ht="12.75" customHeight="1">
      <c r="A32" s="501" t="s">
        <v>100</v>
      </c>
      <c r="B32" s="32">
        <f>'Table 3.7-NonPARS RTS Summary'!B25</f>
        <v>6989.719531962929</v>
      </c>
      <c r="C32" s="27"/>
      <c r="D32" s="488">
        <f>F32/B32</f>
        <v>0.8564071260303603</v>
      </c>
      <c r="E32" s="27"/>
      <c r="F32" s="494">
        <f>'Table 3.7-NonPARS RTS Summary'!F25</f>
        <v>5986.0456161266475</v>
      </c>
      <c r="G32" s="27"/>
      <c r="H32" s="134">
        <f>B32/$B$38</f>
        <v>0.004805536251694277</v>
      </c>
      <c r="I32" s="27"/>
      <c r="J32" s="500">
        <f>D32*H32</f>
        <v>0.004115495490348206</v>
      </c>
    </row>
    <row r="33" spans="1:10" ht="12.75" customHeight="1">
      <c r="A33" s="502" t="s">
        <v>210</v>
      </c>
      <c r="B33" s="32">
        <f>'Table 3.7-NonPARS RTS Summary'!B26</f>
        <v>1105.548471166263</v>
      </c>
      <c r="C33" s="27"/>
      <c r="D33" s="488">
        <f>F33/B33</f>
        <v>0.46139087613808194</v>
      </c>
      <c r="E33" s="27"/>
      <c r="F33" s="494">
        <f>'Table 3.7-NonPARS RTS Summary'!F26</f>
        <v>510.0899777245191</v>
      </c>
      <c r="G33" s="27"/>
      <c r="H33" s="134">
        <f>B33/$B$38</f>
        <v>0.0007600810349972193</v>
      </c>
      <c r="I33" s="27"/>
      <c r="J33" s="500">
        <f>D33*H33</f>
        <v>0.00035069445467330717</v>
      </c>
    </row>
    <row r="34" spans="1:10" ht="12.75" customHeight="1">
      <c r="A34" s="503" t="s">
        <v>102</v>
      </c>
      <c r="B34" s="32">
        <f>B30</f>
        <v>107304.60446327447</v>
      </c>
      <c r="C34" s="27"/>
      <c r="D34" s="488">
        <f>F34/B34</f>
        <v>2.011432058966681</v>
      </c>
      <c r="E34" s="27"/>
      <c r="F34" s="494">
        <f>SUM(F30:F33)</f>
        <v>215835.92149216947</v>
      </c>
      <c r="G34" s="27"/>
      <c r="H34" s="134">
        <f>B34/$B$38</f>
        <v>0.0737735132810356</v>
      </c>
      <c r="I34" s="27"/>
      <c r="J34" s="500">
        <f>SUM(J30:J33)</f>
        <v>0.14839040971607922</v>
      </c>
    </row>
    <row r="35" spans="1:10" ht="4.5" customHeight="1">
      <c r="A35" s="353"/>
      <c r="B35" s="32"/>
      <c r="C35" s="27"/>
      <c r="D35" s="488"/>
      <c r="E35" s="27"/>
      <c r="F35" s="494"/>
      <c r="G35" s="27"/>
      <c r="H35" s="486"/>
      <c r="I35" s="27"/>
      <c r="J35" s="500"/>
    </row>
    <row r="36" spans="1:10" ht="12.75" customHeight="1">
      <c r="A36" s="239" t="s">
        <v>494</v>
      </c>
      <c r="B36" s="32">
        <f>B27</f>
        <v>107304.60446327447</v>
      </c>
      <c r="C36" s="27"/>
      <c r="D36" s="488">
        <f>F36/B36</f>
        <v>2.425626112570302</v>
      </c>
      <c r="E36" s="27"/>
      <c r="F36" s="494">
        <f>SUM(F27,F34)</f>
        <v>260280.8505851463</v>
      </c>
      <c r="G36" s="27"/>
      <c r="H36" s="134">
        <f>B36/$B$38</f>
        <v>0.0737735132810356</v>
      </c>
      <c r="I36" s="27"/>
      <c r="J36" s="500">
        <f>J27+J34</f>
        <v>0.17894696023053192</v>
      </c>
    </row>
    <row r="37" spans="1:10" ht="12.75" customHeight="1">
      <c r="A37" s="353"/>
      <c r="B37" s="32"/>
      <c r="C37" s="27"/>
      <c r="D37" s="488"/>
      <c r="E37" s="27"/>
      <c r="F37" s="494"/>
      <c r="G37" s="27"/>
      <c r="H37" s="486"/>
      <c r="I37" s="27"/>
      <c r="J37" s="500"/>
    </row>
    <row r="38" spans="1:10" ht="12.75" customHeight="1">
      <c r="A38" s="480" t="s">
        <v>269</v>
      </c>
      <c r="B38" s="505">
        <f>SUM(B21,B36)</f>
        <v>1454513.9534632745</v>
      </c>
      <c r="C38" s="506"/>
      <c r="D38" s="507"/>
      <c r="E38" s="506"/>
      <c r="F38" s="508">
        <f>SUM(F21,F36)</f>
        <v>788592.494123297</v>
      </c>
      <c r="G38" s="506"/>
      <c r="H38" s="509"/>
      <c r="I38" s="506"/>
      <c r="J38" s="507">
        <f>SUM(J21,J36)</f>
        <v>0.5421690814623104</v>
      </c>
    </row>
    <row r="39" spans="1:10" ht="12.75" customHeight="1">
      <c r="A39" s="491"/>
      <c r="B39" s="32"/>
      <c r="C39" s="27"/>
      <c r="D39" s="27"/>
      <c r="E39" s="27"/>
      <c r="F39" s="27"/>
      <c r="G39" s="27"/>
      <c r="H39" s="27"/>
      <c r="I39" s="27"/>
      <c r="J39" s="27"/>
    </row>
    <row r="40" spans="1:10" ht="12.75" customHeight="1" hidden="1">
      <c r="A40" s="491"/>
      <c r="B40" s="492"/>
      <c r="C40" s="151"/>
      <c r="D40" s="151"/>
      <c r="E40" s="151"/>
      <c r="F40" s="485"/>
      <c r="G40" s="151"/>
      <c r="H40" s="486"/>
      <c r="I40" s="151"/>
      <c r="J40" s="151"/>
    </row>
    <row r="41" spans="1:11" ht="12.75" customHeight="1" hidden="1">
      <c r="A41" s="14" t="s">
        <v>191</v>
      </c>
      <c r="B41" s="143">
        <v>0</v>
      </c>
      <c r="C41" s="151"/>
      <c r="D41" s="492"/>
      <c r="E41" s="151"/>
      <c r="F41" s="485"/>
      <c r="G41" s="482" t="s">
        <v>311</v>
      </c>
      <c r="H41" s="504">
        <f>SUM('Table 3.14-Route UAA'!J99:J100,'Table 3.14-Route UAA'!J107)</f>
        <v>90627.39637407205</v>
      </c>
      <c r="I41" s="151"/>
      <c r="J41" s="492">
        <f>'Table 3.6-PARS RTS Summary'!J71+'Table 3.7-NonPARS RTS Summary'!J32</f>
        <v>90627.39637407206</v>
      </c>
      <c r="K41" s="143">
        <f aca="true" t="shared" si="3" ref="K41:K48">H41-J41</f>
        <v>0</v>
      </c>
    </row>
    <row r="42" spans="1:11" ht="12.75" customHeight="1" hidden="1">
      <c r="A42" s="487"/>
      <c r="B42" s="143">
        <v>0</v>
      </c>
      <c r="C42" s="27"/>
      <c r="D42" s="488"/>
      <c r="E42" s="27"/>
      <c r="F42" s="485"/>
      <c r="G42" s="46" t="s">
        <v>312</v>
      </c>
      <c r="H42" s="504">
        <f>SUM('Table 3.18-Nixie UAA'!I7,'Table 3.18-Nixie UAA'!I9:I10,'Table 3.18-Nixie UAA'!I16,'Table 3.18-Nixie UAA'!I19,'Table 3.18-Nixie UAA'!I25:I25,'Table 3.18-Nixie UAA'!I28,'Table 3.18-Nixie UAA'!I33:I34,'Table 3.18-Nixie UAA'!I36)+SUM('Table 3.31-Rating Post Due'!H8,'Table 3.31-Rating Post Due'!H13,'Table 3.31-Rating Post Due'!H25)</f>
        <v>38034.816016652796</v>
      </c>
      <c r="I42" s="151"/>
      <c r="J42" s="492">
        <f>'Table 3.6-PARS RTS Summary'!J72+'Table 3.7-NonPARS RTS Summary'!J33</f>
        <v>38034.816016652796</v>
      </c>
      <c r="K42" s="143">
        <f t="shared" si="3"/>
        <v>0</v>
      </c>
    </row>
    <row r="43" spans="1:11" ht="12.75" customHeight="1" hidden="1">
      <c r="A43" s="487"/>
      <c r="B43" s="143">
        <v>0</v>
      </c>
      <c r="C43" s="27"/>
      <c r="D43" s="488"/>
      <c r="E43" s="27"/>
      <c r="F43" s="485"/>
      <c r="G43" s="46" t="s">
        <v>313</v>
      </c>
      <c r="H43" s="504">
        <f>SUM('Table 3.20-CFS Non-CIOSS'!H14,'Table 3.20-CFS Non-CIOSS'!H50,'Table 3.20-CFS Non-CIOSS'!H71,'Table 3.21-CFS CIOSS Rejs'!H14,'Table 3.21-CFS CIOSS Rejs'!H71)</f>
        <v>13257.859519749405</v>
      </c>
      <c r="I43" s="151"/>
      <c r="J43" s="492">
        <f>'Table 3.6-PARS RTS Summary'!J73+'Table 3.7-NonPARS RTS Summary'!J34</f>
        <v>13257.859519749405</v>
      </c>
      <c r="K43" s="143">
        <f t="shared" si="3"/>
        <v>0</v>
      </c>
    </row>
    <row r="44" spans="1:11" ht="12.75" customHeight="1" hidden="1">
      <c r="A44" s="487"/>
      <c r="B44" s="32"/>
      <c r="C44" s="27"/>
      <c r="D44" s="488"/>
      <c r="E44" s="27"/>
      <c r="F44" s="485"/>
      <c r="G44" s="483" t="s">
        <v>502</v>
      </c>
      <c r="H44" s="504">
        <f>SUM('Table 3.23-CIOSS Summary'!I5,'Table 3.23-CIOSS Summary'!I9,'Table 3.23-CIOSS Summary'!I12)</f>
        <v>-8052.079842203484</v>
      </c>
      <c r="I44" s="151"/>
      <c r="J44" s="492">
        <f>'Table 3.6-PARS RTS Summary'!J74</f>
        <v>-8052.079842203488</v>
      </c>
      <c r="K44" s="143">
        <f t="shared" si="3"/>
        <v>0</v>
      </c>
    </row>
    <row r="45" spans="1:11" ht="12.75" customHeight="1" hidden="1">
      <c r="A45" s="499"/>
      <c r="B45" s="32"/>
      <c r="C45" s="27"/>
      <c r="D45" s="488"/>
      <c r="E45" s="27"/>
      <c r="F45" s="485"/>
      <c r="G45" s="483" t="s">
        <v>503</v>
      </c>
      <c r="H45" s="504">
        <f>SUM('Table 3.25-REC Summary'!K5,'Table 3.25-REC Summary'!K9,'Table 3.25-REC Summary'!K12)</f>
        <v>3352.177171342436</v>
      </c>
      <c r="I45" s="151"/>
      <c r="J45" s="492">
        <f>'Table 3.6-PARS RTS Summary'!J75</f>
        <v>3352.177171342437</v>
      </c>
      <c r="K45" s="143">
        <f t="shared" si="3"/>
        <v>0</v>
      </c>
    </row>
    <row r="46" spans="1:11" ht="12.75" customHeight="1" hidden="1">
      <c r="A46" s="491"/>
      <c r="B46" s="492"/>
      <c r="C46" s="151"/>
      <c r="D46" s="488"/>
      <c r="E46" s="151"/>
      <c r="F46" s="489"/>
      <c r="G46" s="67" t="s">
        <v>518</v>
      </c>
      <c r="H46" s="504">
        <f>'Table 3.6-PARS RTS Summary'!H76+'Table 3.7-NonPARS RTS Summary'!H35</f>
        <v>612317.0226898454</v>
      </c>
      <c r="I46" s="151"/>
      <c r="J46" s="492">
        <f>'Table 3.6-PARS RTS Summary'!J76+'Table 3.7-NonPARS RTS Summary'!J35</f>
        <v>612317.0226898454</v>
      </c>
      <c r="K46" s="143">
        <f t="shared" si="3"/>
        <v>0</v>
      </c>
    </row>
    <row r="47" spans="1:11" ht="12.75" customHeight="1" hidden="1">
      <c r="A47" s="493"/>
      <c r="B47" s="492"/>
      <c r="C47" s="151"/>
      <c r="D47" s="488"/>
      <c r="E47" s="151"/>
      <c r="F47" s="489"/>
      <c r="G47" s="67" t="s">
        <v>315</v>
      </c>
      <c r="H47" s="504">
        <f>SUM('Table 3.32-Accounting Post Due'!D10:D11)*'Table 3.32-Accounting Post Due'!F10+SUM('Table 3.33-Delivery Post Due'!D14:D18)*'Table 3.33-Delivery Post Due'!F14+SUM('Table 3.34-Window Post Due'!D10:D11)*'Table 3.34-Window Post Due'!F10</f>
        <v>39055.30219383851</v>
      </c>
      <c r="I47" s="151"/>
      <c r="J47" s="492">
        <f>'Table 3.6-PARS RTS Summary'!J77+'Table 3.7-NonPARS RTS Summary'!J36</f>
        <v>39055.302193838506</v>
      </c>
      <c r="K47" s="143">
        <f t="shared" si="3"/>
        <v>0</v>
      </c>
    </row>
    <row r="48" spans="1:11" ht="12.75" customHeight="1" hidden="1">
      <c r="A48" s="493"/>
      <c r="B48" s="492"/>
      <c r="C48" s="151"/>
      <c r="D48" s="488"/>
      <c r="E48" s="151"/>
      <c r="F48" s="489"/>
      <c r="G48" s="46" t="s">
        <v>314</v>
      </c>
      <c r="H48" s="492">
        <f>SUM(H41:H47)</f>
        <v>788592.4941232972</v>
      </c>
      <c r="I48" s="151"/>
      <c r="J48" s="492">
        <f>SUM(J41:J47)</f>
        <v>788592.4941232972</v>
      </c>
      <c r="K48" s="143">
        <f t="shared" si="3"/>
        <v>0</v>
      </c>
    </row>
    <row r="49" spans="1:10" ht="12.75" customHeight="1">
      <c r="A49" s="493"/>
      <c r="B49" s="492"/>
      <c r="C49" s="151"/>
      <c r="D49" s="488"/>
      <c r="E49" s="151"/>
      <c r="F49" s="489"/>
      <c r="G49" s="151"/>
      <c r="H49" s="486"/>
      <c r="I49" s="151"/>
      <c r="J49" s="151"/>
    </row>
    <row r="50" spans="1:10" ht="12.75">
      <c r="A50" s="317"/>
      <c r="B50" s="317"/>
      <c r="C50" s="317"/>
      <c r="D50" s="317"/>
      <c r="E50" s="317"/>
      <c r="F50" s="317"/>
      <c r="G50" s="27"/>
      <c r="H50" s="240"/>
      <c r="I50" s="27"/>
      <c r="J50" s="27"/>
    </row>
    <row r="51" ht="12.75">
      <c r="A51" s="284" t="s">
        <v>235</v>
      </c>
    </row>
    <row r="52" spans="1:4" ht="12.75">
      <c r="A52" s="241" t="s">
        <v>603</v>
      </c>
      <c r="D52" s="12"/>
    </row>
    <row r="53" spans="1:4" ht="12.75">
      <c r="A53" s="241" t="s">
        <v>604</v>
      </c>
      <c r="D53" s="12"/>
    </row>
    <row r="54" spans="1:4" ht="12.75">
      <c r="A54" s="284"/>
      <c r="D54" s="12"/>
    </row>
    <row r="55" ht="12.75">
      <c r="A55" s="241"/>
    </row>
    <row r="56" ht="12.75">
      <c r="A56" s="241"/>
    </row>
  </sheetData>
  <sheetProtection/>
  <printOptions horizontalCentered="1"/>
  <pageMargins left="0.75" right="0.75" top="1" bottom="1" header="0.5" footer="0.5"/>
  <pageSetup fitToHeight="1" fitToWidth="1" horizontalDpi="600" verticalDpi="600" orientation="landscape" scale="87" r:id="rId1"/>
  <headerFooter alignWithMargins="0">
    <oddFooter>&amp;L&amp;F</oddFooter>
  </headerFooter>
</worksheet>
</file>

<file path=xl/worksheets/sheet7.xml><?xml version="1.0" encoding="utf-8"?>
<worksheet xmlns="http://schemas.openxmlformats.org/spreadsheetml/2006/main" xmlns:r="http://schemas.openxmlformats.org/officeDocument/2006/relationships">
  <dimension ref="A1:L93"/>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57421875" style="0" customWidth="1"/>
    <col min="4" max="4" width="11.7109375" style="0" customWidth="1"/>
    <col min="5" max="5" width="3.57421875" style="0" customWidth="1"/>
    <col min="6" max="6" width="11.7109375" style="0" customWidth="1"/>
    <col min="7" max="7" width="3.57421875" style="0" customWidth="1"/>
    <col min="8" max="8" width="11.7109375" style="0" customWidth="1"/>
    <col min="9" max="9" width="3.421875" style="0" customWidth="1"/>
    <col min="10" max="10" width="11.7109375" style="0" customWidth="1"/>
  </cols>
  <sheetData>
    <row r="1" spans="1:10" s="13" customFormat="1" ht="15.75" customHeight="1">
      <c r="A1" s="157" t="s">
        <v>18</v>
      </c>
      <c r="B1" s="19"/>
      <c r="C1" s="19"/>
      <c r="D1" s="19"/>
      <c r="E1" s="19"/>
      <c r="F1" s="19"/>
      <c r="G1" s="19"/>
      <c r="H1" s="19"/>
      <c r="I1" s="19"/>
      <c r="J1" s="19"/>
    </row>
    <row r="2" spans="1:10" s="13" customFormat="1" ht="15.75">
      <c r="A2" s="158" t="s">
        <v>787</v>
      </c>
      <c r="B2" s="19"/>
      <c r="C2" s="19"/>
      <c r="D2" s="19"/>
      <c r="E2" s="19"/>
      <c r="F2" s="19"/>
      <c r="G2" s="19"/>
      <c r="H2" s="19"/>
      <c r="I2" s="19"/>
      <c r="J2" s="19"/>
    </row>
    <row r="3" spans="2:10" ht="25.5" customHeight="1">
      <c r="B3" s="168" t="s">
        <v>109</v>
      </c>
      <c r="C3" s="168"/>
      <c r="D3" s="169" t="s">
        <v>104</v>
      </c>
      <c r="E3" s="169"/>
      <c r="F3" s="168" t="s">
        <v>110</v>
      </c>
      <c r="G3" s="168"/>
      <c r="H3" s="170" t="s">
        <v>97</v>
      </c>
      <c r="I3" s="170"/>
      <c r="J3" s="171" t="s">
        <v>105</v>
      </c>
    </row>
    <row r="4" ht="12.75">
      <c r="A4" s="333" t="s">
        <v>778</v>
      </c>
    </row>
    <row r="5" spans="1:10" ht="12.75">
      <c r="A5" s="353" t="s">
        <v>481</v>
      </c>
      <c r="B5" s="32">
        <f>'Table 3.24-CIOSS Detail'!E12</f>
        <v>17772.625629194474</v>
      </c>
      <c r="C5" s="241" t="s">
        <v>244</v>
      </c>
      <c r="D5" s="488">
        <f>F5/B5</f>
        <v>0.04745476486120107</v>
      </c>
      <c r="E5" s="27"/>
      <c r="F5" s="489">
        <f>'Table 3.24-CIOSS Detail'!K12</f>
        <v>843.3957701995795</v>
      </c>
      <c r="G5" s="241" t="s">
        <v>244</v>
      </c>
      <c r="H5" s="358">
        <f>B5/$B$68</f>
        <v>0.013192178069716226</v>
      </c>
      <c r="J5" s="551">
        <f>D5*H5</f>
        <v>0.000626031708305477</v>
      </c>
    </row>
    <row r="6" spans="1:10" ht="12.75">
      <c r="A6" s="353" t="s">
        <v>95</v>
      </c>
      <c r="B6" s="32">
        <f>'Table 3.28-REC Volume'!G12</f>
        <v>6753.597739093898</v>
      </c>
      <c r="C6" s="241" t="s">
        <v>582</v>
      </c>
      <c r="D6" s="488">
        <f>F6/B6</f>
        <v>0</v>
      </c>
      <c r="E6" s="27"/>
      <c r="F6" s="489">
        <v>0</v>
      </c>
      <c r="H6" s="358">
        <f>B6/$B$68</f>
        <v>0.005013027666492165</v>
      </c>
      <c r="J6" s="551">
        <f>D6*H6</f>
        <v>0</v>
      </c>
    </row>
    <row r="7" spans="1:10" ht="12.75">
      <c r="A7" s="239" t="s">
        <v>499</v>
      </c>
      <c r="B7" s="32">
        <f>'Table 3.28-REC Volume'!H12</f>
        <v>10130.396608640845</v>
      </c>
      <c r="C7" s="241" t="s">
        <v>582</v>
      </c>
      <c r="D7" s="488">
        <f>F7/B7</f>
        <v>0.054938260564600175</v>
      </c>
      <c r="E7" s="27"/>
      <c r="F7" s="489">
        <f>'Table 3.26-REC Detail NonACS'!K12</f>
        <v>556.5463685082527</v>
      </c>
      <c r="G7" s="12" t="s">
        <v>590</v>
      </c>
      <c r="H7" s="358">
        <f>B7/$B$68</f>
        <v>0.007519541499738246</v>
      </c>
      <c r="J7" s="551">
        <f>D7*H7</f>
        <v>0.0004131105302389441</v>
      </c>
    </row>
    <row r="8" spans="1:10" ht="12.75">
      <c r="A8" s="239" t="s">
        <v>677</v>
      </c>
      <c r="B8" s="32">
        <v>0</v>
      </c>
      <c r="C8" s="27"/>
      <c r="D8" s="488">
        <v>0</v>
      </c>
      <c r="E8" s="27"/>
      <c r="F8" s="494">
        <v>0</v>
      </c>
      <c r="H8" s="358">
        <f>B8/$B$68</f>
        <v>0</v>
      </c>
      <c r="J8" s="551">
        <f>D8*H8</f>
        <v>0</v>
      </c>
    </row>
    <row r="9" spans="1:12" ht="12.75">
      <c r="A9" s="239" t="s">
        <v>488</v>
      </c>
      <c r="B9" s="32">
        <v>888.6312814597113</v>
      </c>
      <c r="C9" s="241" t="s">
        <v>586</v>
      </c>
      <c r="D9" s="488">
        <f>'Table 3.18-Nixie UAA'!J33</f>
        <v>0.1184911785073011</v>
      </c>
      <c r="E9" s="12" t="s">
        <v>587</v>
      </c>
      <c r="F9" s="489">
        <f>B9*D9</f>
        <v>105.29496779861438</v>
      </c>
      <c r="H9" s="358">
        <f>B9/$B$68</f>
        <v>0.0006596089034858021</v>
      </c>
      <c r="J9" s="551">
        <f>D9*H9</f>
        <v>7.815783632794133E-05</v>
      </c>
      <c r="K9" s="6"/>
      <c r="L9" s="6"/>
    </row>
    <row r="10" spans="1:12" ht="12.75">
      <c r="A10" s="82" t="s">
        <v>102</v>
      </c>
      <c r="B10" s="32">
        <f>B5</f>
        <v>17772.625629194474</v>
      </c>
      <c r="C10" s="27"/>
      <c r="D10" s="488">
        <f>F10/B10</f>
        <v>0.08469413230838814</v>
      </c>
      <c r="E10" s="27"/>
      <c r="F10" s="494">
        <f>SUM(F5:F9)</f>
        <v>1505.2371065064467</v>
      </c>
      <c r="H10" s="142"/>
      <c r="J10" s="22">
        <f>SUM(J5:J9)</f>
        <v>0.0011173000748723623</v>
      </c>
      <c r="L10" s="6"/>
    </row>
    <row r="11" spans="1:12" ht="4.5" customHeight="1">
      <c r="A11" s="82"/>
      <c r="B11" s="32"/>
      <c r="C11" s="27"/>
      <c r="D11" s="27"/>
      <c r="E11" s="27"/>
      <c r="F11" s="494"/>
      <c r="H11" s="142"/>
      <c r="L11" s="6"/>
    </row>
    <row r="12" spans="1:12" ht="12.75">
      <c r="A12" s="333" t="s">
        <v>605</v>
      </c>
      <c r="B12" s="32"/>
      <c r="C12" s="27"/>
      <c r="D12" s="27"/>
      <c r="E12" s="27"/>
      <c r="F12" s="494"/>
      <c r="H12" s="142"/>
      <c r="K12" s="165"/>
      <c r="L12" s="6"/>
    </row>
    <row r="13" spans="1:12" ht="12.75">
      <c r="A13" s="353" t="s">
        <v>481</v>
      </c>
      <c r="B13" s="32">
        <f>SUM('Table 3.24-CIOSS Detail'!E5,'Table 3.24-CIOSS Detail'!E9)</f>
        <v>160356.03966376703</v>
      </c>
      <c r="C13" s="241" t="s">
        <v>244</v>
      </c>
      <c r="D13" s="488">
        <f>F13/B13</f>
        <v>0.04745476486120107</v>
      </c>
      <c r="E13" s="27"/>
      <c r="F13" s="489">
        <f>SUM('Table 3.24-CIOSS Detail'!K5,'Table 3.24-CIOSS Detail'!K9)</f>
        <v>7609.658156317497</v>
      </c>
      <c r="G13" s="241" t="s">
        <v>244</v>
      </c>
      <c r="H13" s="358">
        <f>B13/$B$68</f>
        <v>0.11902830082258213</v>
      </c>
      <c r="J13" s="551">
        <f>D13*H13</f>
        <v>0.005648460027363941</v>
      </c>
      <c r="K13" s="165"/>
      <c r="L13" s="6"/>
    </row>
    <row r="14" spans="1:12" ht="12.75">
      <c r="A14" s="353" t="s">
        <v>95</v>
      </c>
      <c r="B14" s="32">
        <f>SUM('Table 3.28-REC Volume'!G5,'Table 3.28-REC Volume'!G9)</f>
        <v>60978.04979317555</v>
      </c>
      <c r="C14" s="241" t="s">
        <v>582</v>
      </c>
      <c r="D14" s="488">
        <f>F14/B14</f>
        <v>0</v>
      </c>
      <c r="E14" s="27"/>
      <c r="F14" s="489">
        <v>0</v>
      </c>
      <c r="H14" s="358">
        <f>B14/$B$68</f>
        <v>0.04526249007879737</v>
      </c>
      <c r="J14" s="551">
        <f>D14*H14</f>
        <v>0</v>
      </c>
      <c r="K14" s="165"/>
      <c r="L14" s="6"/>
    </row>
    <row r="15" spans="1:12" ht="12.75">
      <c r="A15" s="239" t="s">
        <v>499</v>
      </c>
      <c r="B15" s="32">
        <f>SUM('Table 3.28-REC Volume'!H5)</f>
        <v>89662.2146841946</v>
      </c>
      <c r="C15" s="241" t="s">
        <v>582</v>
      </c>
      <c r="D15" s="488">
        <f>F15/B15</f>
        <v>0.05493826056460018</v>
      </c>
      <c r="E15" s="27"/>
      <c r="F15" s="494">
        <f>SUM('Table 3.26-REC Detail NonACS'!K5)</f>
        <v>4925.8861131194035</v>
      </c>
      <c r="G15" s="12" t="s">
        <v>590</v>
      </c>
      <c r="H15" s="358">
        <f>B15/$B$68</f>
        <v>0.06655403241578499</v>
      </c>
      <c r="J15" s="551">
        <f>D15*H15</f>
        <v>0.0036563627744832425</v>
      </c>
      <c r="K15" s="165"/>
      <c r="L15" s="6"/>
    </row>
    <row r="16" spans="1:12" ht="12.75">
      <c r="A16" s="239" t="s">
        <v>677</v>
      </c>
      <c r="B16" s="32">
        <f>SUM('Table 3.28-REC Volume'!H9)</f>
        <v>1804.8600055687402</v>
      </c>
      <c r="C16" s="241" t="s">
        <v>582</v>
      </c>
      <c r="D16" s="488">
        <f>F16/B16</f>
        <v>0.027469130282300084</v>
      </c>
      <c r="E16" s="27"/>
      <c r="F16" s="494">
        <f>SUM('Table 3.26-REC Detail NonACS'!K9)</f>
        <v>49.57793463428058</v>
      </c>
      <c r="G16" s="12" t="s">
        <v>590</v>
      </c>
      <c r="H16" s="358">
        <f>B16/$B$68</f>
        <v>0.0013397027024110565</v>
      </c>
      <c r="J16" s="551">
        <f>D16*H16</f>
        <v>3.680046807207881E-05</v>
      </c>
      <c r="L16" s="6"/>
    </row>
    <row r="17" spans="1:12" ht="12.75">
      <c r="A17" s="239" t="s">
        <v>489</v>
      </c>
      <c r="B17" s="32">
        <v>7910.915180828108</v>
      </c>
      <c r="C17" s="241" t="s">
        <v>591</v>
      </c>
      <c r="D17" s="488">
        <f>'Table 3.21-CFS CIOSS Rejs'!I13</f>
        <v>0.23654193194975764</v>
      </c>
      <c r="E17" s="241" t="s">
        <v>592</v>
      </c>
      <c r="F17" s="494">
        <f>B17*D17</f>
        <v>1871.263160363747</v>
      </c>
      <c r="H17" s="358">
        <f>B17/$B$68</f>
        <v>0.005872075625588691</v>
      </c>
      <c r="J17" s="551">
        <f>D17*H17</f>
        <v>0.0013889921130318308</v>
      </c>
      <c r="L17" s="6"/>
    </row>
    <row r="18" spans="1:12" ht="12.75">
      <c r="A18" s="82" t="s">
        <v>102</v>
      </c>
      <c r="B18" s="32">
        <f>B13</f>
        <v>160356.03966376703</v>
      </c>
      <c r="C18" s="27"/>
      <c r="D18" s="488">
        <f>F18/B18</f>
        <v>0.09015179842771708</v>
      </c>
      <c r="E18" s="27"/>
      <c r="F18" s="494">
        <f>SUM(F13:F17)</f>
        <v>14456.38536443493</v>
      </c>
      <c r="H18" s="142"/>
      <c r="J18" s="22">
        <f>SUM(J13:J17)</f>
        <v>0.010730615382951093</v>
      </c>
      <c r="L18" s="6"/>
    </row>
    <row r="19" spans="2:12" ht="4.5" customHeight="1">
      <c r="B19" s="27"/>
      <c r="C19" s="27"/>
      <c r="D19" s="27"/>
      <c r="E19" s="27"/>
      <c r="F19" s="27"/>
      <c r="L19" s="6"/>
    </row>
    <row r="20" spans="1:12" ht="12.75">
      <c r="A20" s="15" t="s">
        <v>606</v>
      </c>
      <c r="B20" s="27"/>
      <c r="C20" s="27"/>
      <c r="D20" s="27"/>
      <c r="E20" s="27"/>
      <c r="F20" s="27"/>
      <c r="L20" s="6"/>
    </row>
    <row r="21" spans="1:12" ht="12.75">
      <c r="A21" s="353" t="s">
        <v>307</v>
      </c>
      <c r="B21" s="32">
        <f>'Table 3.16-Route UAA PARS'!D107</f>
        <v>86345.55981895147</v>
      </c>
      <c r="C21" s="490" t="s">
        <v>593</v>
      </c>
      <c r="D21" s="488">
        <f aca="true" t="shared" si="0" ref="D21:D26">F21/B21</f>
        <v>0.06907826964612242</v>
      </c>
      <c r="E21" s="490"/>
      <c r="F21" s="489">
        <f>'Table 3.16-Route UAA PARS'!J107</f>
        <v>5964.601863918923</v>
      </c>
      <c r="G21" s="490" t="s">
        <v>593</v>
      </c>
      <c r="H21" s="358">
        <f aca="true" t="shared" si="1" ref="H21:H27">B21/$B$68</f>
        <v>0.06409216198139038</v>
      </c>
      <c r="J21" s="551">
        <f aca="true" t="shared" si="2" ref="J21:J27">D21*H21</f>
        <v>0.0044273756475534404</v>
      </c>
      <c r="L21" s="6"/>
    </row>
    <row r="22" spans="1:12" ht="12.75">
      <c r="A22" s="353" t="s">
        <v>495</v>
      </c>
      <c r="B22" s="32">
        <f>'Table 3.18-Nixie UAA'!D7</f>
        <v>86345.55981895147</v>
      </c>
      <c r="C22" s="12" t="s">
        <v>587</v>
      </c>
      <c r="D22" s="488">
        <f t="shared" si="0"/>
        <v>0.006032795169194399</v>
      </c>
      <c r="E22" s="490"/>
      <c r="F22" s="489">
        <f>'Table 3.18-Nixie UAA'!I7</f>
        <v>520.9050761571564</v>
      </c>
      <c r="G22" s="12" t="s">
        <v>587</v>
      </c>
      <c r="H22" s="358">
        <f t="shared" si="1"/>
        <v>0.06409216198139038</v>
      </c>
      <c r="J22" s="551">
        <f t="shared" si="2"/>
        <v>0.0003866548851845568</v>
      </c>
      <c r="L22" s="6"/>
    </row>
    <row r="23" spans="1:12" ht="12.75">
      <c r="A23" s="353" t="s">
        <v>481</v>
      </c>
      <c r="B23" s="32">
        <f>SUM('Table 3.24-CIOSS Detail'!E20,'Table 3.24-CIOSS Detail'!E24)</f>
        <v>86345.55981895144</v>
      </c>
      <c r="C23" s="241" t="s">
        <v>244</v>
      </c>
      <c r="D23" s="488">
        <f t="shared" si="0"/>
        <v>0.035731401032292685</v>
      </c>
      <c r="E23" s="490"/>
      <c r="F23" s="489">
        <f>SUM('Table 3.24-CIOSS Detail'!K20,'Table 3.24-CIOSS Detail'!K24)</f>
        <v>3085.2478252487713</v>
      </c>
      <c r="G23" s="241" t="s">
        <v>244</v>
      </c>
      <c r="H23" s="358">
        <f t="shared" si="1"/>
        <v>0.06409216198139035</v>
      </c>
      <c r="J23" s="551">
        <f t="shared" si="2"/>
        <v>0.0022901027427837213</v>
      </c>
      <c r="L23" s="6"/>
    </row>
    <row r="24" spans="1:12" ht="12.75">
      <c r="A24" s="353" t="s">
        <v>95</v>
      </c>
      <c r="B24" s="32">
        <f>SUM('Table 3.28-REC Volume'!G20,'Table 3.28-REC Volume'!G24)</f>
        <v>18879.742339810124</v>
      </c>
      <c r="C24" s="241" t="s">
        <v>582</v>
      </c>
      <c r="D24" s="488">
        <f t="shared" si="0"/>
        <v>0</v>
      </c>
      <c r="E24" s="27"/>
      <c r="F24" s="489">
        <v>0</v>
      </c>
      <c r="H24" s="358">
        <f t="shared" si="1"/>
        <v>0.014013963274396878</v>
      </c>
      <c r="J24" s="551">
        <f t="shared" si="2"/>
        <v>0</v>
      </c>
      <c r="L24" s="6"/>
    </row>
    <row r="25" spans="1:12" ht="12.75">
      <c r="A25" s="239" t="s">
        <v>499</v>
      </c>
      <c r="B25" s="32">
        <f>SUM('Table 3.28-REC Volume'!H20)</f>
        <v>61958.88937792421</v>
      </c>
      <c r="C25" s="241" t="s">
        <v>582</v>
      </c>
      <c r="D25" s="488">
        <f t="shared" si="0"/>
        <v>0.05493826056460017</v>
      </c>
      <c r="E25" s="490"/>
      <c r="F25" s="489">
        <f>SUM('Table 3.26-REC Detail NonACS'!K20)</f>
        <v>3403.913608937638</v>
      </c>
      <c r="G25" s="12" t="s">
        <v>590</v>
      </c>
      <c r="H25" s="358">
        <f t="shared" si="1"/>
        <v>0.04599054291295912</v>
      </c>
      <c r="J25" s="551">
        <f t="shared" si="2"/>
        <v>0.0025266404300595736</v>
      </c>
      <c r="L25" s="6"/>
    </row>
    <row r="26" spans="1:12" ht="12.75" customHeight="1">
      <c r="A26" s="239" t="s">
        <v>677</v>
      </c>
      <c r="B26" s="32">
        <f>SUM('Table 3.28-REC Volume'!H24)</f>
        <v>1247.2045423096806</v>
      </c>
      <c r="C26" s="241" t="s">
        <v>582</v>
      </c>
      <c r="D26" s="488">
        <f t="shared" si="0"/>
        <v>0.027469130282300077</v>
      </c>
      <c r="E26" s="490"/>
      <c r="F26" s="489">
        <f>SUM('Table 3.26-REC Detail NonACS'!K24)</f>
        <v>34.259624061381054</v>
      </c>
      <c r="G26" s="12" t="s">
        <v>590</v>
      </c>
      <c r="H26" s="358">
        <f t="shared" si="1"/>
        <v>0.000925768918717384</v>
      </c>
      <c r="J26" s="551">
        <f t="shared" si="2"/>
        <v>2.543006703955189E-05</v>
      </c>
      <c r="L26" s="6"/>
    </row>
    <row r="27" spans="1:12" ht="12.75">
      <c r="A27" s="239" t="s">
        <v>489</v>
      </c>
      <c r="B27" s="32">
        <f>'Table 3.21-CFS CIOSS Rejs'!B14-B17</f>
        <v>4259.723558907441</v>
      </c>
      <c r="C27" s="490" t="s">
        <v>594</v>
      </c>
      <c r="D27" s="488">
        <f>'Table 3.21-CFS CIOSS Rejs'!I13</f>
        <v>0.23654193194975764</v>
      </c>
      <c r="E27" s="241" t="s">
        <v>592</v>
      </c>
      <c r="F27" s="494">
        <f>B27*D27</f>
        <v>1007.6032401958633</v>
      </c>
      <c r="H27" s="358">
        <f t="shared" si="1"/>
        <v>0.003161886875316986</v>
      </c>
      <c r="J27" s="551">
        <f t="shared" si="2"/>
        <v>0.0007479188300940624</v>
      </c>
      <c r="L27" s="6"/>
    </row>
    <row r="28" spans="1:12" ht="12.75" customHeight="1">
      <c r="A28" s="100" t="s">
        <v>102</v>
      </c>
      <c r="B28" s="492">
        <f>B21</f>
        <v>86345.55981895147</v>
      </c>
      <c r="C28" s="151"/>
      <c r="D28" s="488">
        <f>F28/B28</f>
        <v>0.1623306544993102</v>
      </c>
      <c r="E28" s="151"/>
      <c r="F28" s="485">
        <f>SUM(F21:F27)</f>
        <v>14016.531238519732</v>
      </c>
      <c r="G28" s="18"/>
      <c r="H28" s="142"/>
      <c r="I28" s="18"/>
      <c r="J28" s="552">
        <f>SUM(J21:J27)</f>
        <v>0.010404122602714908</v>
      </c>
      <c r="L28" s="6"/>
    </row>
    <row r="29" spans="1:12" ht="4.5" customHeight="1">
      <c r="A29" s="100"/>
      <c r="B29" s="492"/>
      <c r="C29" s="151"/>
      <c r="D29" s="151"/>
      <c r="E29" s="151"/>
      <c r="F29" s="485"/>
      <c r="G29" s="18"/>
      <c r="H29" s="142"/>
      <c r="I29" s="18"/>
      <c r="J29" s="18"/>
      <c r="L29" s="6"/>
    </row>
    <row r="30" spans="1:12" ht="12.75" customHeight="1">
      <c r="A30" s="15" t="s">
        <v>607</v>
      </c>
      <c r="B30" s="492"/>
      <c r="C30" s="151"/>
      <c r="D30" s="151"/>
      <c r="E30" s="151"/>
      <c r="F30" s="485"/>
      <c r="G30" s="18"/>
      <c r="H30" s="142"/>
      <c r="I30" s="18"/>
      <c r="J30" s="18"/>
      <c r="L30" s="6"/>
    </row>
    <row r="31" spans="1:12" ht="12.75" customHeight="1">
      <c r="A31" s="353" t="s">
        <v>307</v>
      </c>
      <c r="B31" s="492">
        <f>'Table 3.16-Route UAA PARS'!D99</f>
        <v>985150.8279070624</v>
      </c>
      <c r="C31" s="490" t="s">
        <v>593</v>
      </c>
      <c r="D31" s="488">
        <f>F31/B31</f>
        <v>0.06902260534165147</v>
      </c>
      <c r="E31" s="151"/>
      <c r="F31" s="489">
        <f>'Table 3.16-Route UAA PARS'!J99</f>
        <v>67997.67679663037</v>
      </c>
      <c r="G31" s="490" t="s">
        <v>593</v>
      </c>
      <c r="H31" s="358">
        <f aca="true" t="shared" si="3" ref="H31:H37">B31/$B$68</f>
        <v>0.7312529627546864</v>
      </c>
      <c r="J31" s="551">
        <f aca="true" t="shared" si="4" ref="J31:J37">D31*H31</f>
        <v>0.05047298465313008</v>
      </c>
      <c r="L31" s="6"/>
    </row>
    <row r="32" spans="1:12" ht="12.75" customHeight="1">
      <c r="A32" s="353" t="s">
        <v>495</v>
      </c>
      <c r="B32" s="492">
        <f>'Table 3.18-Nixie UAA'!D9</f>
        <v>985150.827907062</v>
      </c>
      <c r="C32" s="12" t="s">
        <v>587</v>
      </c>
      <c r="D32" s="488">
        <f>F32/B32</f>
        <v>0.007207781390106382</v>
      </c>
      <c r="E32" s="151"/>
      <c r="F32" s="489">
        <f>'Table 3.18-Nixie UAA'!I9</f>
        <v>7100.751803836417</v>
      </c>
      <c r="G32" s="12" t="s">
        <v>587</v>
      </c>
      <c r="H32" s="358">
        <f t="shared" si="3"/>
        <v>0.7312529627546862</v>
      </c>
      <c r="J32" s="551">
        <f t="shared" si="4"/>
        <v>0.005270711496403383</v>
      </c>
      <c r="L32" s="6"/>
    </row>
    <row r="33" spans="1:12" ht="12.75" customHeight="1">
      <c r="A33" s="353" t="s">
        <v>481</v>
      </c>
      <c r="B33" s="492">
        <f>SUM('Table 3.24-CIOSS Detail'!E27,'Table 3.24-CIOSS Detail'!E34)</f>
        <v>985150.8279070625</v>
      </c>
      <c r="C33" s="241" t="s">
        <v>244</v>
      </c>
      <c r="D33" s="488">
        <f>F33/B33</f>
        <v>-0.022358763153263402</v>
      </c>
      <c r="E33" s="151"/>
      <c r="F33" s="489">
        <f>SUM('Table 3.24-CIOSS Detail'!K27,'Table 3.24-CIOSS Detail'!K34)</f>
        <v>-22026.754031415363</v>
      </c>
      <c r="G33" s="241" t="s">
        <v>244</v>
      </c>
      <c r="H33" s="358">
        <f t="shared" si="3"/>
        <v>0.7312529627546865</v>
      </c>
      <c r="J33" s="551">
        <f t="shared" si="4"/>
        <v>-0.016349911799354182</v>
      </c>
      <c r="L33" s="6"/>
    </row>
    <row r="34" spans="1:12" ht="12.75" customHeight="1">
      <c r="A34" s="353" t="s">
        <v>95</v>
      </c>
      <c r="B34" s="492">
        <f>SUM('Table 3.28-REC Volume'!G27,'Table 3.28-REC Volume'!G34)</f>
        <v>372811.779737468</v>
      </c>
      <c r="C34" s="241" t="s">
        <v>582</v>
      </c>
      <c r="D34" s="488">
        <f>F34/B34</f>
        <v>0</v>
      </c>
      <c r="E34" s="151"/>
      <c r="F34" s="489">
        <v>0</v>
      </c>
      <c r="G34" s="18"/>
      <c r="H34" s="358">
        <f t="shared" si="3"/>
        <v>0.2767289137461798</v>
      </c>
      <c r="J34" s="551">
        <f t="shared" si="4"/>
        <v>0</v>
      </c>
      <c r="L34" s="6"/>
    </row>
    <row r="35" spans="1:12" ht="12.75" customHeight="1">
      <c r="A35" s="239" t="s">
        <v>499</v>
      </c>
      <c r="B35" s="492">
        <f>SUM('Table 3.28-REC Volume'!H27,'Table 3.28-REC Volume'!H34)</f>
        <v>563081.5067742412</v>
      </c>
      <c r="C35" s="241" t="s">
        <v>582</v>
      </c>
      <c r="D35" s="488">
        <f>F35/B35</f>
        <v>-0.012802038239003576</v>
      </c>
      <c r="E35" s="151"/>
      <c r="F35" s="489">
        <f>SUM('Table 3.26-REC Detail NonACS'!K27,'Table 3.26-REC Detail NonACS'!K34)</f>
        <v>-7208.590981399587</v>
      </c>
      <c r="G35" s="12" t="s">
        <v>590</v>
      </c>
      <c r="H35" s="358">
        <f t="shared" si="3"/>
        <v>0.4179614008707723</v>
      </c>
      <c r="J35" s="551">
        <f t="shared" si="4"/>
        <v>-0.00535075783637513</v>
      </c>
      <c r="L35" s="6"/>
    </row>
    <row r="36" spans="1:12" ht="12.75" customHeight="1">
      <c r="A36" s="239" t="s">
        <v>677</v>
      </c>
      <c r="B36" s="492">
        <v>0</v>
      </c>
      <c r="C36" s="241"/>
      <c r="D36" s="488">
        <v>0</v>
      </c>
      <c r="E36" s="151"/>
      <c r="F36" s="494">
        <v>0</v>
      </c>
      <c r="G36" s="18"/>
      <c r="H36" s="358">
        <f t="shared" si="3"/>
        <v>0</v>
      </c>
      <c r="J36" s="551">
        <f t="shared" si="4"/>
        <v>0</v>
      </c>
      <c r="L36" s="6"/>
    </row>
    <row r="37" spans="1:12" ht="12.75" customHeight="1">
      <c r="A37" s="239" t="s">
        <v>488</v>
      </c>
      <c r="B37" s="492">
        <f>'Table 3.18-Nixie UAA'!D33-B9</f>
        <v>49257.54139535313</v>
      </c>
      <c r="C37" s="481" t="s">
        <v>622</v>
      </c>
      <c r="D37" s="488">
        <f>'Table 3.18-Nixie UAA'!J33</f>
        <v>0.1184911785073011</v>
      </c>
      <c r="E37" s="12" t="s">
        <v>587</v>
      </c>
      <c r="F37" s="485">
        <f>B37*D37</f>
        <v>5836.584130307561</v>
      </c>
      <c r="G37" s="18"/>
      <c r="H37" s="358">
        <f t="shared" si="3"/>
        <v>0.036562648137734334</v>
      </c>
      <c r="J37" s="551">
        <f t="shared" si="4"/>
        <v>0.004332351267187919</v>
      </c>
      <c r="L37" s="6"/>
    </row>
    <row r="38" spans="1:12" ht="12.75" customHeight="1">
      <c r="A38" s="100" t="s">
        <v>102</v>
      </c>
      <c r="B38" s="492">
        <f>B31</f>
        <v>985150.8279070624</v>
      </c>
      <c r="C38" s="151"/>
      <c r="D38" s="151"/>
      <c r="E38" s="151"/>
      <c r="F38" s="485">
        <f>SUM(F31:F37)</f>
        <v>51699.66771795941</v>
      </c>
      <c r="G38" s="18"/>
      <c r="H38" s="142"/>
      <c r="I38" s="18"/>
      <c r="J38" s="552">
        <f>SUM(J31:J37)</f>
        <v>0.03837537778099208</v>
      </c>
      <c r="L38" s="6"/>
    </row>
    <row r="39" spans="1:12" ht="4.5" customHeight="1">
      <c r="A39" s="100"/>
      <c r="B39" s="492"/>
      <c r="C39" s="151"/>
      <c r="D39" s="151"/>
      <c r="E39" s="151"/>
      <c r="F39" s="485"/>
      <c r="G39" s="18"/>
      <c r="H39" s="142"/>
      <c r="I39" s="18"/>
      <c r="J39" s="18"/>
      <c r="L39" s="6"/>
    </row>
    <row r="40" spans="1:12" ht="15.75" customHeight="1">
      <c r="A40" s="157" t="s">
        <v>19</v>
      </c>
      <c r="B40" s="19"/>
      <c r="C40" s="19"/>
      <c r="D40" s="19"/>
      <c r="E40" s="19"/>
      <c r="F40" s="19"/>
      <c r="G40" s="19"/>
      <c r="H40" s="19"/>
      <c r="I40" s="19"/>
      <c r="J40" s="19"/>
      <c r="L40" s="6"/>
    </row>
    <row r="41" spans="1:12" ht="15.75" customHeight="1">
      <c r="A41" s="158" t="s">
        <v>787</v>
      </c>
      <c r="B41" s="19"/>
      <c r="C41" s="19"/>
      <c r="D41" s="19"/>
      <c r="E41" s="19"/>
      <c r="F41" s="19"/>
      <c r="G41" s="19"/>
      <c r="H41" s="19"/>
      <c r="I41" s="19"/>
      <c r="J41" s="19"/>
      <c r="L41" s="6"/>
    </row>
    <row r="42" spans="2:12" ht="25.5" customHeight="1">
      <c r="B42" s="168" t="s">
        <v>109</v>
      </c>
      <c r="C42" s="168"/>
      <c r="D42" s="169" t="s">
        <v>104</v>
      </c>
      <c r="E42" s="169"/>
      <c r="F42" s="168" t="s">
        <v>110</v>
      </c>
      <c r="G42" s="168"/>
      <c r="H42" s="170" t="s">
        <v>97</v>
      </c>
      <c r="I42" s="170"/>
      <c r="J42" s="171" t="s">
        <v>105</v>
      </c>
      <c r="L42" s="6"/>
    </row>
    <row r="43" spans="1:12" ht="12.75" customHeight="1">
      <c r="A43" s="15" t="s">
        <v>608</v>
      </c>
      <c r="B43" s="492"/>
      <c r="C43" s="151"/>
      <c r="D43" s="151"/>
      <c r="E43" s="151"/>
      <c r="F43" s="485"/>
      <c r="G43" s="18"/>
      <c r="H43" s="142"/>
      <c r="I43" s="18"/>
      <c r="J43" s="18"/>
      <c r="L43" s="6"/>
    </row>
    <row r="44" spans="1:12" ht="12.75" customHeight="1">
      <c r="A44" s="353" t="s">
        <v>481</v>
      </c>
      <c r="B44" s="492">
        <f>'Table 3.24-CIOSS Detail'!E15</f>
        <v>2574.3508301829193</v>
      </c>
      <c r="C44" s="241" t="s">
        <v>244</v>
      </c>
      <c r="D44" s="488">
        <f>F44/B44</f>
        <v>0.04745476486120108</v>
      </c>
      <c r="E44" s="151"/>
      <c r="F44" s="485">
        <f>'Table 3.24-CIOSS Detail'!K15</f>
        <v>122.16521331656823</v>
      </c>
      <c r="G44" s="241" t="s">
        <v>244</v>
      </c>
      <c r="H44" s="358">
        <f>B44/$B$68</f>
        <v>0.0019108766073318865</v>
      </c>
      <c r="J44" s="551">
        <f>D44*H44</f>
        <v>9.068020007970434E-05</v>
      </c>
      <c r="L44" s="6"/>
    </row>
    <row r="45" spans="1:12" ht="12.75" customHeight="1">
      <c r="A45" s="353" t="s">
        <v>95</v>
      </c>
      <c r="B45" s="492">
        <f>'Table 3.28-REC Volume'!G15</f>
        <v>1014.2942270920702</v>
      </c>
      <c r="C45" s="241" t="s">
        <v>582</v>
      </c>
      <c r="D45" s="488">
        <f>F45/B45</f>
        <v>0</v>
      </c>
      <c r="E45" s="151"/>
      <c r="F45" s="485">
        <v>0</v>
      </c>
      <c r="G45" s="18"/>
      <c r="H45" s="358">
        <f>B45/$B$68</f>
        <v>0.0007528853832887633</v>
      </c>
      <c r="J45" s="551">
        <f>D45*H45</f>
        <v>0</v>
      </c>
      <c r="L45" s="6"/>
    </row>
    <row r="46" spans="1:12" ht="12.75" customHeight="1">
      <c r="A46" s="239" t="s">
        <v>499</v>
      </c>
      <c r="B46" s="32">
        <v>0</v>
      </c>
      <c r="C46" s="241"/>
      <c r="D46" s="488">
        <v>0</v>
      </c>
      <c r="E46" s="27"/>
      <c r="F46" s="489">
        <v>0</v>
      </c>
      <c r="H46" s="358">
        <f>B46/$B$68</f>
        <v>0</v>
      </c>
      <c r="J46" s="551">
        <f>D46*H46</f>
        <v>0</v>
      </c>
      <c r="L46" s="6"/>
    </row>
    <row r="47" spans="1:12" ht="12.75" customHeight="1">
      <c r="A47" s="239" t="s">
        <v>677</v>
      </c>
      <c r="B47" s="492">
        <f>'Table 3.28-REC Volume'!H15</f>
        <v>1521.4413406381052</v>
      </c>
      <c r="C47" s="241" t="s">
        <v>582</v>
      </c>
      <c r="D47" s="488">
        <f>F47/B47</f>
        <v>0.027469130282300084</v>
      </c>
      <c r="E47" s="490"/>
      <c r="F47" s="494">
        <f>SUM('Table 3.26-REC Detail NonACS'!K15)</f>
        <v>41.79267040286541</v>
      </c>
      <c r="G47" s="12" t="s">
        <v>590</v>
      </c>
      <c r="H47" s="358">
        <f>B47/$B$68</f>
        <v>0.001129328074933145</v>
      </c>
      <c r="J47" s="551">
        <f>D47*H47</f>
        <v>3.102166002179771E-05</v>
      </c>
      <c r="L47" s="6"/>
    </row>
    <row r="48" spans="1:12" ht="12.75" customHeight="1">
      <c r="A48" s="239" t="s">
        <v>489</v>
      </c>
      <c r="B48" s="492">
        <v>38.615262452743764</v>
      </c>
      <c r="C48" s="481" t="s">
        <v>623</v>
      </c>
      <c r="D48" s="488">
        <f>'Table 3.21-CFS CIOSS Rejs'!I71</f>
        <v>0.01905192855230126</v>
      </c>
      <c r="E48" s="241" t="s">
        <v>592</v>
      </c>
      <c r="F48" s="494">
        <f>B48*D48</f>
        <v>0.7356952212780357</v>
      </c>
      <c r="G48" s="18"/>
      <c r="H48" s="358">
        <f>B48/$B$68</f>
        <v>2.8663149109978278E-05</v>
      </c>
      <c r="J48" s="551">
        <f>D48*H48</f>
        <v>5.460882689272635E-07</v>
      </c>
      <c r="L48" s="6"/>
    </row>
    <row r="49" spans="1:12" ht="12.75" customHeight="1">
      <c r="A49" s="100" t="s">
        <v>102</v>
      </c>
      <c r="B49" s="492">
        <f>B44</f>
        <v>2574.3508301829193</v>
      </c>
      <c r="C49" s="151"/>
      <c r="D49" s="488">
        <f>F49/B49</f>
        <v>0.06397479978632495</v>
      </c>
      <c r="E49" s="151"/>
      <c r="F49" s="485">
        <f>SUM(F44:F48)</f>
        <v>164.6935789407117</v>
      </c>
      <c r="G49" s="18"/>
      <c r="H49" s="142"/>
      <c r="I49" s="18"/>
      <c r="J49" s="552">
        <f>SUM(J44:J48)</f>
        <v>0.00012224794837042933</v>
      </c>
      <c r="L49" s="6"/>
    </row>
    <row r="50" spans="1:12" ht="4.5" customHeight="1">
      <c r="A50" s="100"/>
      <c r="B50" s="492"/>
      <c r="C50" s="151"/>
      <c r="D50" s="151"/>
      <c r="E50" s="151"/>
      <c r="F50" s="485"/>
      <c r="G50" s="18"/>
      <c r="H50" s="142"/>
      <c r="I50" s="18"/>
      <c r="J50" s="18"/>
      <c r="L50" s="6"/>
    </row>
    <row r="51" spans="1:12" ht="12.75" customHeight="1">
      <c r="A51" s="15" t="s">
        <v>609</v>
      </c>
      <c r="B51" s="492"/>
      <c r="C51" s="151"/>
      <c r="D51" s="151"/>
      <c r="E51" s="151"/>
      <c r="F51" s="485"/>
      <c r="G51" s="18"/>
      <c r="H51" s="142"/>
      <c r="I51" s="18"/>
      <c r="J51" s="18"/>
      <c r="L51" s="6"/>
    </row>
    <row r="52" spans="1:12" ht="12.75" customHeight="1">
      <c r="A52" s="353" t="s">
        <v>307</v>
      </c>
      <c r="B52" s="492">
        <f>'Table 3.16-Route UAA PARS'!D100</f>
        <v>95009.94515084181</v>
      </c>
      <c r="C52" s="490" t="s">
        <v>593</v>
      </c>
      <c r="D52" s="488">
        <f>F52/B52</f>
        <v>0.06809180548797703</v>
      </c>
      <c r="E52" s="151"/>
      <c r="F52" s="485">
        <f>'Table 3.16-Route UAA PARS'!J100</f>
        <v>6469.398704634486</v>
      </c>
      <c r="G52" s="490" t="s">
        <v>593</v>
      </c>
      <c r="H52" s="358">
        <f aca="true" t="shared" si="5" ref="H52:H58">B52/$B$68</f>
        <v>0.07052351976429301</v>
      </c>
      <c r="J52" s="551">
        <f aca="true" t="shared" si="6" ref="J52:J58">D52*H52</f>
        <v>0.004802073790117743</v>
      </c>
      <c r="L52" s="6"/>
    </row>
    <row r="53" spans="1:12" ht="12.75" customHeight="1">
      <c r="A53" s="353" t="s">
        <v>495</v>
      </c>
      <c r="B53" s="492">
        <f>'Table 3.18-Nixie UAA'!D10</f>
        <v>95009.9451508418</v>
      </c>
      <c r="C53" s="12" t="s">
        <v>587</v>
      </c>
      <c r="D53" s="488">
        <f>F53/B53</f>
        <v>0.006032795169194396</v>
      </c>
      <c r="E53" s="151"/>
      <c r="F53" s="485">
        <f>'Table 3.18-Nixie UAA'!I10</f>
        <v>573.175538131423</v>
      </c>
      <c r="G53" s="12" t="s">
        <v>587</v>
      </c>
      <c r="H53" s="358">
        <f t="shared" si="5"/>
        <v>0.070523519764293</v>
      </c>
      <c r="J53" s="551">
        <f t="shared" si="6"/>
        <v>0.0004254539493486123</v>
      </c>
      <c r="L53" s="6"/>
    </row>
    <row r="54" spans="1:12" ht="12.75" customHeight="1">
      <c r="A54" s="353" t="s">
        <v>481</v>
      </c>
      <c r="B54" s="492">
        <f>SUM('Table 3.24-CIOSS Detail'!E30,'Table 3.24-CIOSS Detail'!E36)</f>
        <v>95009.94515084181</v>
      </c>
      <c r="C54" s="241" t="s">
        <v>244</v>
      </c>
      <c r="D54" s="488">
        <f>F54/B54</f>
        <v>0.024357526156396865</v>
      </c>
      <c r="E54" s="151"/>
      <c r="F54" s="485">
        <f>SUM('Table 3.24-CIOSS Detail'!K30,'Table 3.24-CIOSS Detail'!K36)</f>
        <v>2314.207224129461</v>
      </c>
      <c r="G54" s="241" t="s">
        <v>244</v>
      </c>
      <c r="H54" s="358">
        <f t="shared" si="5"/>
        <v>0.07052351976429301</v>
      </c>
      <c r="J54" s="551">
        <f t="shared" si="6"/>
        <v>0.0017177784772999384</v>
      </c>
      <c r="L54" s="6"/>
    </row>
    <row r="55" spans="1:12" ht="12.75" customHeight="1">
      <c r="A55" s="353" t="s">
        <v>95</v>
      </c>
      <c r="B55" s="492">
        <f>SUM('Table 3.28-REC Volume'!G30,'Table 3.28-REC Volume'!G36)</f>
        <v>37201.80105669329</v>
      </c>
      <c r="C55" s="241" t="s">
        <v>582</v>
      </c>
      <c r="D55" s="488">
        <f>F55/B55</f>
        <v>0</v>
      </c>
      <c r="E55" s="151"/>
      <c r="F55" s="485">
        <v>0</v>
      </c>
      <c r="G55" s="18"/>
      <c r="H55" s="358">
        <f t="shared" si="5"/>
        <v>0.02761397186287882</v>
      </c>
      <c r="J55" s="551">
        <f t="shared" si="6"/>
        <v>0</v>
      </c>
      <c r="L55" s="6"/>
    </row>
    <row r="56" spans="1:12" ht="12.75" customHeight="1">
      <c r="A56" s="239" t="s">
        <v>499</v>
      </c>
      <c r="B56" s="32">
        <v>0</v>
      </c>
      <c r="D56" s="488">
        <v>0</v>
      </c>
      <c r="E56" s="27"/>
      <c r="F56" s="489">
        <v>0</v>
      </c>
      <c r="G56" s="18"/>
      <c r="H56" s="358">
        <f t="shared" si="5"/>
        <v>0</v>
      </c>
      <c r="J56" s="551">
        <f t="shared" si="6"/>
        <v>0</v>
      </c>
      <c r="L56" s="6"/>
    </row>
    <row r="57" spans="1:12" ht="12.75" customHeight="1">
      <c r="A57" s="239" t="s">
        <v>677</v>
      </c>
      <c r="B57" s="492">
        <f>SUM('Table 3.28-REC Volume'!H30,'Table 3.28-REC Volume'!H36)</f>
        <v>56382.99491688589</v>
      </c>
      <c r="C57" s="241" t="s">
        <v>582</v>
      </c>
      <c r="D57" s="488">
        <f>F57/B57</f>
        <v>0.027469130282300084</v>
      </c>
      <c r="E57" s="490"/>
      <c r="F57" s="489">
        <f>SUM('Table 3.26-REC Detail NonACS'!K30,'Table 3.26-REC Detail NonACS'!K36)</f>
        <v>1548.7918330782018</v>
      </c>
      <c r="G57" s="12" t="s">
        <v>590</v>
      </c>
      <c r="H57" s="358">
        <f t="shared" si="5"/>
        <v>0.041851695104949786</v>
      </c>
      <c r="J57" s="551">
        <f t="shared" si="6"/>
        <v>0.0011496296653729665</v>
      </c>
      <c r="L57" s="6"/>
    </row>
    <row r="58" spans="1:12" ht="12.75" customHeight="1">
      <c r="A58" s="239" t="s">
        <v>489</v>
      </c>
      <c r="B58" s="492">
        <f>'Table 3.21-CFS CIOSS Rejs'!B71-B48</f>
        <v>1425.149177262627</v>
      </c>
      <c r="C58" s="481" t="s">
        <v>624</v>
      </c>
      <c r="D58" s="488">
        <f>'Table 3.21-CFS CIOSS Rejs'!I71</f>
        <v>0.01905192855230126</v>
      </c>
      <c r="E58" s="241" t="s">
        <v>592</v>
      </c>
      <c r="F58" s="494">
        <f>B58*D58</f>
        <v>27.151840301578492</v>
      </c>
      <c r="G58" s="18"/>
      <c r="H58" s="358">
        <f t="shared" si="5"/>
        <v>0.001057852796464395</v>
      </c>
      <c r="J58" s="551">
        <f t="shared" si="6"/>
        <v>2.015413589709174E-05</v>
      </c>
      <c r="L58" s="6"/>
    </row>
    <row r="59" spans="1:10" ht="12.75" customHeight="1">
      <c r="A59" s="100" t="s">
        <v>102</v>
      </c>
      <c r="B59" s="324">
        <f>B52</f>
        <v>95009.94515084181</v>
      </c>
      <c r="C59" s="18"/>
      <c r="D59" s="83">
        <f>F59/B59</f>
        <v>0.11506927114754031</v>
      </c>
      <c r="E59" s="18"/>
      <c r="F59" s="113">
        <f>SUM(F52:F58)</f>
        <v>10932.72514027515</v>
      </c>
      <c r="G59" s="18"/>
      <c r="H59" s="142"/>
      <c r="I59" s="18"/>
      <c r="J59" s="552">
        <f>SUM(J52:J58)</f>
        <v>0.008115090018036352</v>
      </c>
    </row>
    <row r="60" spans="1:10" ht="4.5" customHeight="1">
      <c r="A60" s="100"/>
      <c r="B60" s="324"/>
      <c r="C60" s="18"/>
      <c r="D60" s="18"/>
      <c r="E60" s="18"/>
      <c r="F60" s="113"/>
      <c r="G60" s="18"/>
      <c r="H60" s="142"/>
      <c r="I60" s="18"/>
      <c r="J60" s="18"/>
    </row>
    <row r="61" spans="1:10" ht="12.75" customHeight="1">
      <c r="A61" s="15" t="s">
        <v>610</v>
      </c>
      <c r="B61" s="324"/>
      <c r="C61" s="18"/>
      <c r="D61" s="18"/>
      <c r="E61" s="18"/>
      <c r="F61" s="113"/>
      <c r="G61" s="18"/>
      <c r="H61" s="142"/>
      <c r="I61" s="18"/>
      <c r="J61" s="18"/>
    </row>
    <row r="62" spans="1:10" ht="12.75" customHeight="1">
      <c r="A62" s="353" t="s">
        <v>320</v>
      </c>
      <c r="B62" s="6">
        <f>SUM(B10,B18,B28,B38,B49,B59)</f>
        <v>1347209.349</v>
      </c>
      <c r="D62" s="83">
        <f>'Table 3.30-UAA MP Cost'!D24</f>
        <v>0.3099221199642445</v>
      </c>
      <c r="E62" s="12" t="s">
        <v>626</v>
      </c>
      <c r="F62" s="113">
        <f>B62*D62</f>
        <v>417529.9774777297</v>
      </c>
      <c r="G62" s="18"/>
      <c r="H62" s="358">
        <f>B62/$B$68</f>
        <v>1</v>
      </c>
      <c r="J62" s="551">
        <f>D62*H62</f>
        <v>0.3099221199642445</v>
      </c>
    </row>
    <row r="63" spans="1:10" ht="12.75">
      <c r="A63" s="353" t="s">
        <v>99</v>
      </c>
      <c r="B63" s="6">
        <f>'Table 3.35-PD Vols'!B14</f>
        <v>7846.497010377805</v>
      </c>
      <c r="C63" s="12" t="s">
        <v>625</v>
      </c>
      <c r="D63" s="83">
        <f>'Table 3.32-Accounting Post Due'!I13</f>
        <v>1.5421779878988264</v>
      </c>
      <c r="E63" s="12" t="s">
        <v>627</v>
      </c>
      <c r="F63" s="113">
        <f>B63*D63</f>
        <v>12100.6949715186</v>
      </c>
      <c r="G63" s="18"/>
      <c r="H63" s="358">
        <f>B63/$B$68</f>
        <v>0.005824259619488289</v>
      </c>
      <c r="J63" s="551">
        <f>D63*H63</f>
        <v>0.008982044980982833</v>
      </c>
    </row>
    <row r="64" spans="1:10" ht="12.75">
      <c r="A64" s="353" t="s">
        <v>100</v>
      </c>
      <c r="B64" s="6">
        <f>'Table 3.35-PD Vols'!B15</f>
        <v>6494.0090040452205</v>
      </c>
      <c r="C64" s="12" t="s">
        <v>625</v>
      </c>
      <c r="D64" s="83">
        <f>'Table 3.33-Delivery Post Due'!I20</f>
        <v>0.8564071260303603</v>
      </c>
      <c r="E64" s="12" t="s">
        <v>628</v>
      </c>
      <c r="F64" s="113">
        <f>B64*D64</f>
        <v>5561.51558756965</v>
      </c>
      <c r="G64" s="18"/>
      <c r="H64" s="358">
        <f>B64/$B$68</f>
        <v>0.0048203414034096205</v>
      </c>
      <c r="J64" s="551">
        <f>D64*H64</f>
        <v>0.004128174727779187</v>
      </c>
    </row>
    <row r="65" spans="1:10" ht="12.75">
      <c r="A65" s="497" t="s">
        <v>210</v>
      </c>
      <c r="B65" s="6">
        <f>'Table 3.35-PD Vols'!B16</f>
        <v>746.0384946871881</v>
      </c>
      <c r="C65" s="12" t="s">
        <v>625</v>
      </c>
      <c r="D65" s="83">
        <f>'Table 3.34-Window Post Due'!I13</f>
        <v>0.46139087613808194</v>
      </c>
      <c r="E65" s="12" t="s">
        <v>629</v>
      </c>
      <c r="F65" s="113">
        <f>B65*D65</f>
        <v>344.2153546964575</v>
      </c>
      <c r="G65" s="18"/>
      <c r="H65" s="358">
        <f>B65/$B$68</f>
        <v>0.0005537658235826183</v>
      </c>
      <c r="J65" s="551">
        <f>D65*H65</f>
        <v>0.0002555024985181108</v>
      </c>
    </row>
    <row r="66" spans="1:10" ht="12.75">
      <c r="A66" s="100" t="s">
        <v>102</v>
      </c>
      <c r="B66" s="324">
        <f>B62</f>
        <v>1347209.349</v>
      </c>
      <c r="C66" s="18"/>
      <c r="D66" s="83">
        <f>F66/B66</f>
        <v>0.3232878421715246</v>
      </c>
      <c r="E66" s="18"/>
      <c r="F66" s="175">
        <f>SUM(F62:F65)</f>
        <v>435536.4033915144</v>
      </c>
      <c r="G66" s="18"/>
      <c r="H66" s="142"/>
      <c r="I66" s="18"/>
      <c r="J66" s="552">
        <f>SUM(J62:J65)</f>
        <v>0.3232878421715247</v>
      </c>
    </row>
    <row r="67" spans="1:10" ht="4.5" customHeight="1">
      <c r="A67" s="91"/>
      <c r="B67" s="324"/>
      <c r="C67" s="18"/>
      <c r="D67" s="83"/>
      <c r="E67" s="18"/>
      <c r="F67" s="175"/>
      <c r="G67" s="18"/>
      <c r="H67" s="142"/>
      <c r="I67" s="18"/>
      <c r="J67" s="18"/>
    </row>
    <row r="68" spans="1:10" ht="12.75">
      <c r="A68" s="91" t="s">
        <v>504</v>
      </c>
      <c r="B68" s="393">
        <f>SUM(B10,B18,B28,B38,B49,B59)</f>
        <v>1347209.349</v>
      </c>
      <c r="C68" s="18"/>
      <c r="D68" s="83"/>
      <c r="E68" s="18"/>
      <c r="F68" s="510">
        <f>SUM(F10,F18,F28,F38,F49,F59,F66)</f>
        <v>528311.6435381507</v>
      </c>
      <c r="G68" s="18"/>
      <c r="H68" s="142"/>
      <c r="I68" s="18"/>
      <c r="J68" s="413">
        <f>SUM(J10,J18,J28,J38,J49,J59,J66)</f>
        <v>0.3921525959794619</v>
      </c>
    </row>
    <row r="69" spans="1:10" ht="12.75" hidden="1">
      <c r="A69" s="91"/>
      <c r="B69" s="324"/>
      <c r="C69" s="18"/>
      <c r="D69" s="83"/>
      <c r="E69" s="18"/>
      <c r="F69" s="175"/>
      <c r="G69" s="18"/>
      <c r="H69" s="142"/>
      <c r="I69" s="18"/>
      <c r="J69" s="18"/>
    </row>
    <row r="70" spans="1:10" ht="12.75" hidden="1">
      <c r="A70" s="5"/>
      <c r="B70" s="240"/>
      <c r="F70" s="359"/>
      <c r="H70" s="6"/>
      <c r="J70" s="6"/>
    </row>
    <row r="71" spans="1:11" ht="12.75" hidden="1">
      <c r="A71" s="23" t="s">
        <v>191</v>
      </c>
      <c r="B71" s="143">
        <f>B5-SUM(B6:B9)</f>
        <v>0</v>
      </c>
      <c r="G71" s="482" t="s">
        <v>311</v>
      </c>
      <c r="H71" s="6">
        <f>SUM('Table 3.16-Route UAA PARS'!J99,'Table 3.16-Route UAA PARS'!J100,'Table 3.16-Route UAA PARS'!J107)</f>
        <v>80431.67736518379</v>
      </c>
      <c r="J71" s="6">
        <f>SUM(F21,F31,F52)</f>
        <v>80431.67736518379</v>
      </c>
      <c r="K71" s="143">
        <f aca="true" t="shared" si="7" ref="K71:K78">H71-J71</f>
        <v>0</v>
      </c>
    </row>
    <row r="72" spans="1:11" ht="12.75" hidden="1">
      <c r="A72" s="5"/>
      <c r="B72" s="143">
        <f>B13-SUM(B14:B17)</f>
        <v>0</v>
      </c>
      <c r="G72" s="46" t="s">
        <v>312</v>
      </c>
      <c r="H72" s="6">
        <f>SUM('Table 3.18-Nixie UAA'!I7,'Table 3.18-Nixie UAA'!I9,'Table 3.18-Nixie UAA'!I10,'Table 3.18-Nixie UAA'!I33,'Table 3.18-Nixie UAA'!I34)</f>
        <v>14136.711516231171</v>
      </c>
      <c r="J72" s="6">
        <f>SUM(F9,F22,F32,F37,F53)</f>
        <v>14136.711516231173</v>
      </c>
      <c r="K72" s="143">
        <f t="shared" si="7"/>
        <v>0</v>
      </c>
    </row>
    <row r="73" spans="1:11" ht="12.75" hidden="1">
      <c r="A73" s="5"/>
      <c r="B73" s="143">
        <f>B28-SUM(B24:B27)</f>
        <v>0</v>
      </c>
      <c r="G73" s="46" t="s">
        <v>313</v>
      </c>
      <c r="H73" s="6">
        <f>SUM('Table 3.21-CFS CIOSS Rejs'!H14,'Table 3.21-CFS CIOSS Rejs'!H71)</f>
        <v>2906.7539360824667</v>
      </c>
      <c r="J73" s="6">
        <f>SUM(F17,F27,F48,F58)</f>
        <v>2906.7539360824667</v>
      </c>
      <c r="K73" s="143">
        <f t="shared" si="7"/>
        <v>0</v>
      </c>
    </row>
    <row r="74" spans="1:11" ht="12.75" hidden="1">
      <c r="A74" s="5"/>
      <c r="B74" s="143">
        <f>B33-SUM(B34:B37)</f>
        <v>0</v>
      </c>
      <c r="G74" s="483" t="s">
        <v>502</v>
      </c>
      <c r="H74" s="6">
        <f>SUM('Table 3.23-CIOSS Summary'!I5,'Table 3.23-CIOSS Summary'!I9,'Table 3.23-CIOSS Summary'!I12)</f>
        <v>-8052.079842203484</v>
      </c>
      <c r="J74" s="6">
        <f>SUM(F5,F13,F23,F33,F44,F54)</f>
        <v>-8052.079842203488</v>
      </c>
      <c r="K74" s="143">
        <f t="shared" si="7"/>
        <v>0</v>
      </c>
    </row>
    <row r="75" spans="1:11" ht="12.75" hidden="1">
      <c r="A75" s="5"/>
      <c r="B75" s="143">
        <f>B44-SUM(B45:B48)</f>
        <v>0</v>
      </c>
      <c r="G75" s="483" t="s">
        <v>503</v>
      </c>
      <c r="H75" s="6">
        <f>SUM('Table 3.25-REC Summary'!K5,'Table 3.25-REC Summary'!K9,'Table 3.25-REC Summary'!K12)</f>
        <v>3352.177171342436</v>
      </c>
      <c r="J75" s="6">
        <f>SUM(F7:F8,F15:F16,F25:F26,F35:F36,F46:F47,F56:F57)</f>
        <v>3352.177171342437</v>
      </c>
      <c r="K75" s="143">
        <f t="shared" si="7"/>
        <v>0</v>
      </c>
    </row>
    <row r="76" spans="1:11" ht="12.75" hidden="1">
      <c r="A76" s="5"/>
      <c r="B76" s="143">
        <f>B54-SUM(B55:B58)</f>
        <v>0</v>
      </c>
      <c r="G76" s="67" t="s">
        <v>518</v>
      </c>
      <c r="H76" s="32">
        <f>'Table 3.30-UAA MP Cost'!F24</f>
        <v>417529.9774777297</v>
      </c>
      <c r="J76" s="6">
        <f>F62</f>
        <v>417529.9774777297</v>
      </c>
      <c r="K76" s="143">
        <f t="shared" si="7"/>
        <v>0</v>
      </c>
    </row>
    <row r="77" spans="1:11" ht="12.75" hidden="1">
      <c r="A77" s="5"/>
      <c r="B77" s="143">
        <f>B68-SUM('Table 3.23-CIOSS Summary'!C5,'Table 3.23-CIOSS Summary'!C9,'Table 3.23-CIOSS Summary'!C12)</f>
        <v>0</v>
      </c>
      <c r="G77" s="67" t="s">
        <v>315</v>
      </c>
      <c r="H77" s="32">
        <f>SUM(F63:F65)</f>
        <v>18006.425913784708</v>
      </c>
      <c r="I77" s="27"/>
      <c r="J77" s="32">
        <f>SUM(F63:F65)</f>
        <v>18006.425913784708</v>
      </c>
      <c r="K77" s="143">
        <f t="shared" si="7"/>
        <v>0</v>
      </c>
    </row>
    <row r="78" spans="1:11" ht="12.75" hidden="1">
      <c r="A78" s="5"/>
      <c r="B78" s="240"/>
      <c r="G78" s="46" t="s">
        <v>314</v>
      </c>
      <c r="H78" s="6">
        <f>SUM(H71:H77)</f>
        <v>528311.6435381508</v>
      </c>
      <c r="J78" s="6">
        <f>SUM(J71:J77)</f>
        <v>528311.6435381508</v>
      </c>
      <c r="K78" s="143">
        <f t="shared" si="7"/>
        <v>0</v>
      </c>
    </row>
    <row r="79" spans="1:8" ht="12.75">
      <c r="A79" s="283"/>
      <c r="B79" s="283"/>
      <c r="C79" s="283"/>
      <c r="D79" s="283"/>
      <c r="E79" s="283"/>
      <c r="F79" s="283"/>
      <c r="H79" s="240"/>
    </row>
    <row r="80" ht="12.75">
      <c r="A80" s="284" t="s">
        <v>235</v>
      </c>
    </row>
    <row r="81" spans="1:5" ht="12.75">
      <c r="A81" s="241" t="s">
        <v>779</v>
      </c>
      <c r="D81" s="12"/>
      <c r="E81" s="241" t="s">
        <v>620</v>
      </c>
    </row>
    <row r="82" spans="1:5" ht="12.75">
      <c r="A82" s="241" t="s">
        <v>66</v>
      </c>
      <c r="D82" s="12"/>
      <c r="E82" s="241" t="s">
        <v>621</v>
      </c>
    </row>
    <row r="83" spans="1:5" ht="12.75">
      <c r="A83" s="241" t="s">
        <v>611</v>
      </c>
      <c r="D83" s="12"/>
      <c r="E83" s="241" t="s">
        <v>78</v>
      </c>
    </row>
    <row r="84" spans="1:5" ht="12.75">
      <c r="A84" s="241" t="s">
        <v>612</v>
      </c>
      <c r="E84" s="241" t="s">
        <v>780</v>
      </c>
    </row>
    <row r="85" spans="1:5" ht="12.75">
      <c r="A85" s="241" t="s">
        <v>15</v>
      </c>
      <c r="E85" s="241" t="s">
        <v>16</v>
      </c>
    </row>
    <row r="86" spans="1:5" ht="12.75">
      <c r="A86" s="241" t="s">
        <v>17</v>
      </c>
      <c r="E86" s="241" t="s">
        <v>30</v>
      </c>
    </row>
    <row r="87" spans="1:5" ht="12.75">
      <c r="A87" s="241" t="s">
        <v>613</v>
      </c>
      <c r="E87" s="241" t="s">
        <v>691</v>
      </c>
    </row>
    <row r="88" spans="1:5" ht="12.75">
      <c r="A88" s="12" t="s">
        <v>614</v>
      </c>
      <c r="E88" s="241" t="s">
        <v>692</v>
      </c>
    </row>
    <row r="89" spans="1:5" ht="12.75">
      <c r="A89" s="12" t="s">
        <v>690</v>
      </c>
      <c r="E89" s="241" t="s">
        <v>693</v>
      </c>
    </row>
    <row r="90" spans="1:5" ht="12.75">
      <c r="A90" s="241" t="s">
        <v>77</v>
      </c>
      <c r="E90" s="241" t="s">
        <v>694</v>
      </c>
    </row>
    <row r="91" spans="1:5" ht="12.75">
      <c r="A91" s="241" t="s">
        <v>617</v>
      </c>
      <c r="E91" s="241" t="s">
        <v>695</v>
      </c>
    </row>
    <row r="92" spans="1:5" ht="12.75">
      <c r="A92" s="241" t="s">
        <v>618</v>
      </c>
      <c r="E92" s="241" t="s">
        <v>44</v>
      </c>
    </row>
    <row r="93" ht="12.75">
      <c r="A93" s="241" t="s">
        <v>79</v>
      </c>
    </row>
  </sheetData>
  <sheetProtection/>
  <printOptions horizontalCentered="1"/>
  <pageMargins left="0.75" right="0.75" top="1" bottom="1" header="0.5" footer="0.5"/>
  <pageSetup fitToHeight="2" horizontalDpi="600" verticalDpi="600" orientation="landscape" scale="82" r:id="rId3"/>
  <headerFooter alignWithMargins="0">
    <oddFooter>&amp;L&amp;F</oddFooter>
  </headerFooter>
  <rowBreaks count="1" manualBreakCount="1">
    <brk id="39" max="255" man="1"/>
  </row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L46"/>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 min="11" max="11" width="12.7109375" style="0" bestFit="1" customWidth="1"/>
  </cols>
  <sheetData>
    <row r="1" spans="1:10" s="13" customFormat="1" ht="15.75">
      <c r="A1" s="157" t="s">
        <v>550</v>
      </c>
      <c r="B1" s="19"/>
      <c r="C1" s="19"/>
      <c r="D1" s="19"/>
      <c r="E1" s="19"/>
      <c r="F1" s="19"/>
      <c r="G1" s="19"/>
      <c r="H1" s="19"/>
      <c r="I1" s="19"/>
      <c r="J1" s="19"/>
    </row>
    <row r="2" spans="1:10" s="13" customFormat="1" ht="15.75">
      <c r="A2" s="158" t="s">
        <v>787</v>
      </c>
      <c r="B2" s="19"/>
      <c r="C2" s="19"/>
      <c r="D2" s="19"/>
      <c r="E2" s="19"/>
      <c r="F2" s="19"/>
      <c r="G2" s="19"/>
      <c r="H2" s="19"/>
      <c r="I2" s="19"/>
      <c r="J2" s="19"/>
    </row>
    <row r="3" spans="2:10" ht="38.25">
      <c r="B3" s="168" t="s">
        <v>109</v>
      </c>
      <c r="C3" s="168"/>
      <c r="D3" s="169" t="s">
        <v>104</v>
      </c>
      <c r="E3" s="169"/>
      <c r="F3" s="168" t="s">
        <v>110</v>
      </c>
      <c r="G3" s="168"/>
      <c r="H3" s="170" t="s">
        <v>97</v>
      </c>
      <c r="I3" s="170"/>
      <c r="J3" s="171" t="s">
        <v>105</v>
      </c>
    </row>
    <row r="4" ht="12.75" customHeight="1">
      <c r="A4" s="333" t="s">
        <v>630</v>
      </c>
    </row>
    <row r="5" spans="1:10" ht="12.75" customHeight="1">
      <c r="A5" s="353" t="s">
        <v>307</v>
      </c>
      <c r="B5" s="32">
        <f>'Table 3.15-Route UAA NoPARS'!D99</f>
        <v>67143.70473121344</v>
      </c>
      <c r="C5" s="241" t="s">
        <v>241</v>
      </c>
      <c r="D5" s="488">
        <f>F5/B5</f>
        <v>0.10890488257210434</v>
      </c>
      <c r="E5" s="27"/>
      <c r="F5" s="113">
        <f>'Table 3.15-Route UAA NoPARS'!J99</f>
        <v>7312.277279208846</v>
      </c>
      <c r="G5" s="241" t="s">
        <v>241</v>
      </c>
      <c r="H5" s="358">
        <f>B5/$B$29</f>
        <v>0.6257299494933948</v>
      </c>
      <c r="J5" s="22">
        <f>D5*H5</f>
        <v>0.06814504667142694</v>
      </c>
    </row>
    <row r="6" spans="1:10" ht="12.75" customHeight="1">
      <c r="A6" s="239" t="s">
        <v>520</v>
      </c>
      <c r="B6" s="32">
        <f>SUM('Table 3.18-Nixie UAA'!D16,'Table 3.18-Nixie UAA'!D19,'Table 3.18-Nixie UAA'!D25,'Table 3.18-Nixie UAA'!D28)</f>
        <v>67143.70473121344</v>
      </c>
      <c r="C6" s="241" t="s">
        <v>242</v>
      </c>
      <c r="D6" s="488">
        <f>F6/B6</f>
        <v>0.33965099408692484</v>
      </c>
      <c r="E6" s="27"/>
      <c r="F6" s="113">
        <f>SUM('Table 3.18-Nixie UAA'!I16,'Table 3.18-Nixie UAA'!I19,'Table 3.18-Nixie UAA'!I25,'Table 3.18-Nixie UAA'!I28)</f>
        <v>22805.426058635603</v>
      </c>
      <c r="G6" s="241" t="s">
        <v>242</v>
      </c>
      <c r="H6" s="358">
        <f>B6/$B$29</f>
        <v>0.6257299494933948</v>
      </c>
      <c r="J6" s="22">
        <f>D6*H6</f>
        <v>0.21252979937539282</v>
      </c>
    </row>
    <row r="7" spans="1:10" ht="12.75" customHeight="1">
      <c r="A7" s="353" t="s">
        <v>98</v>
      </c>
      <c r="B7" s="32">
        <f>SUM('Table 3.31-Rating Post Due'!B14,'Table 3.31-Rating Post Due'!B25)</f>
        <v>4129.641810860821</v>
      </c>
      <c r="C7" s="241" t="s">
        <v>243</v>
      </c>
      <c r="D7" s="488">
        <f>F7/B7</f>
        <v>0.2645939991483787</v>
      </c>
      <c r="E7" s="27"/>
      <c r="F7" s="113">
        <f>SUM('Table 3.31-Rating Post Due'!H14,'Table 3.31-Rating Post Due'!H25)</f>
        <v>1092.6784417860174</v>
      </c>
      <c r="G7" s="241" t="s">
        <v>243</v>
      </c>
      <c r="H7" s="358">
        <f>B7/$B$29</f>
        <v>0.03848522466968518</v>
      </c>
      <c r="J7" s="22">
        <f>D7*H7</f>
        <v>0.010182959503475844</v>
      </c>
    </row>
    <row r="8" spans="1:10" ht="12.75" customHeight="1">
      <c r="A8" s="353" t="s">
        <v>102</v>
      </c>
      <c r="B8" s="32">
        <f>B5</f>
        <v>67143.70473121344</v>
      </c>
      <c r="C8" s="27"/>
      <c r="D8" s="488">
        <f>F8/B8</f>
        <v>0.46482960546443514</v>
      </c>
      <c r="E8" s="27"/>
      <c r="F8" s="113">
        <f>SUM(F5:F7)</f>
        <v>31210.38177963047</v>
      </c>
      <c r="J8" s="22">
        <f>SUM(J5:J7)</f>
        <v>0.2908578055502956</v>
      </c>
    </row>
    <row r="9" spans="2:11" ht="4.5" customHeight="1">
      <c r="B9" s="32"/>
      <c r="C9" s="27"/>
      <c r="D9" s="488"/>
      <c r="E9" s="27"/>
      <c r="F9" s="113"/>
      <c r="H9" s="6"/>
      <c r="K9" s="6"/>
    </row>
    <row r="10" spans="1:8" ht="12.75" customHeight="1">
      <c r="A10" s="15" t="s">
        <v>631</v>
      </c>
      <c r="B10" s="32"/>
      <c r="C10" s="27"/>
      <c r="D10" s="488"/>
      <c r="E10" s="27"/>
      <c r="F10" s="113"/>
      <c r="H10" s="142"/>
    </row>
    <row r="11" spans="1:10" ht="12.75" customHeight="1">
      <c r="A11" s="353" t="s">
        <v>307</v>
      </c>
      <c r="B11" s="32">
        <f>'Table 3.15-Route UAA NoPARS'!D107</f>
        <v>35876.63230197039</v>
      </c>
      <c r="C11" s="241" t="s">
        <v>241</v>
      </c>
      <c r="D11" s="488">
        <f>F11/B11</f>
        <v>0.06928999896257809</v>
      </c>
      <c r="E11" s="27"/>
      <c r="F11" s="113">
        <f>'Table 3.15-Route UAA NoPARS'!J107</f>
        <v>2485.8918149843244</v>
      </c>
      <c r="G11" s="241" t="s">
        <v>241</v>
      </c>
      <c r="H11" s="358">
        <f>B11/$B$29</f>
        <v>0.33434382877996016</v>
      </c>
      <c r="J11" s="22">
        <f>D11*H11</f>
        <v>0.023166683549307825</v>
      </c>
    </row>
    <row r="12" spans="1:12" ht="12.75" customHeight="1">
      <c r="A12" s="239" t="s">
        <v>96</v>
      </c>
      <c r="B12" s="32">
        <f>'Table 3.20-CFS Non-CIOSS'!B14</f>
        <v>35876.6323019704</v>
      </c>
      <c r="C12" s="241" t="s">
        <v>244</v>
      </c>
      <c r="D12" s="488">
        <f>F12/B12</f>
        <v>0.2399558831070699</v>
      </c>
      <c r="E12" s="27"/>
      <c r="F12" s="113">
        <f>'Table 3.20-CFS Non-CIOSS'!H14</f>
        <v>8608.808986926937</v>
      </c>
      <c r="G12" s="241" t="s">
        <v>244</v>
      </c>
      <c r="H12" s="358">
        <f>B12/$B$29</f>
        <v>0.3343438287799603</v>
      </c>
      <c r="J12" s="22">
        <f>D12*H12</f>
        <v>0.08022776869629433</v>
      </c>
      <c r="K12" s="165"/>
      <c r="L12" s="6"/>
    </row>
    <row r="13" spans="1:12" ht="12.75" customHeight="1">
      <c r="A13" s="239" t="s">
        <v>310</v>
      </c>
      <c r="B13" s="32">
        <f>'Table 3.20-CFS Non-CIOSS'!B50+'Table 3.20-CFS Non-CIOSS'!B61</f>
        <v>5306.843990645356</v>
      </c>
      <c r="C13" s="241" t="s">
        <v>244</v>
      </c>
      <c r="D13" s="488">
        <f>F13/B13</f>
        <v>0.3129304427811174</v>
      </c>
      <c r="E13" s="27"/>
      <c r="F13" s="113">
        <f>'Table 3.20-CFS Non-CIOSS'!H50+'Table 3.20-CFS Non-CIOSS'!H61</f>
        <v>1660.6730397629633</v>
      </c>
      <c r="G13" s="241" t="s">
        <v>244</v>
      </c>
      <c r="H13" s="358">
        <f>B13/$B$29</f>
        <v>0.049455883251139046</v>
      </c>
      <c r="J13" s="22">
        <f>D13*H13</f>
        <v>0.015476251443910191</v>
      </c>
      <c r="K13" s="165"/>
      <c r="L13" s="6"/>
    </row>
    <row r="14" spans="1:12" ht="12.75" customHeight="1">
      <c r="A14" s="353" t="s">
        <v>102</v>
      </c>
      <c r="B14" s="32">
        <f>B11</f>
        <v>35876.63230197039</v>
      </c>
      <c r="C14" s="27"/>
      <c r="D14" s="488">
        <f>F14/B14</f>
        <v>0.35553431365333815</v>
      </c>
      <c r="E14" s="27"/>
      <c r="F14" s="113">
        <f>SUM(F11:F13)</f>
        <v>12755.373841674225</v>
      </c>
      <c r="H14" s="142"/>
      <c r="J14" s="22">
        <f>SUM(J11:J13)</f>
        <v>0.11887070368951236</v>
      </c>
      <c r="K14" s="165"/>
      <c r="L14" s="6"/>
    </row>
    <row r="15" spans="2:12" ht="4.5" customHeight="1">
      <c r="B15" s="32"/>
      <c r="C15" s="27"/>
      <c r="D15" s="488"/>
      <c r="E15" s="27"/>
      <c r="F15" s="113"/>
      <c r="H15" s="142"/>
      <c r="K15" s="165"/>
      <c r="L15" s="6"/>
    </row>
    <row r="16" spans="1:12" ht="12.75" customHeight="1">
      <c r="A16" s="15" t="s">
        <v>632</v>
      </c>
      <c r="B16" s="32"/>
      <c r="C16" s="27"/>
      <c r="D16" s="488"/>
      <c r="E16" s="27"/>
      <c r="F16" s="113"/>
      <c r="H16" s="142"/>
      <c r="L16" s="6"/>
    </row>
    <row r="17" spans="1:12" ht="12.75" customHeight="1">
      <c r="A17" s="353" t="s">
        <v>307</v>
      </c>
      <c r="B17" s="32">
        <f>'Table 3.15-Route UAA NoPARS'!D100</f>
        <v>4284.267430090634</v>
      </c>
      <c r="C17" s="241" t="s">
        <v>241</v>
      </c>
      <c r="D17" s="488">
        <f>F17/B17</f>
        <v>0.09279297363719866</v>
      </c>
      <c r="E17" s="27"/>
      <c r="F17" s="113">
        <f>'Table 3.15-Route UAA NoPARS'!J100</f>
        <v>397.549914695109</v>
      </c>
      <c r="G17" s="241" t="s">
        <v>241</v>
      </c>
      <c r="H17" s="358">
        <f>B17/$B$29</f>
        <v>0.039926221726644964</v>
      </c>
      <c r="J17" s="22">
        <f>D17*H17</f>
        <v>0.0037048728401135145</v>
      </c>
      <c r="L17" s="6"/>
    </row>
    <row r="18" spans="1:10" ht="12.75" customHeight="1">
      <c r="A18" s="353" t="s">
        <v>309</v>
      </c>
      <c r="B18" s="32">
        <v>0</v>
      </c>
      <c r="C18" s="241" t="s">
        <v>242</v>
      </c>
      <c r="D18" s="488">
        <v>0</v>
      </c>
      <c r="E18" s="27"/>
      <c r="F18" s="113">
        <v>0</v>
      </c>
      <c r="G18" s="241" t="s">
        <v>242</v>
      </c>
      <c r="H18" s="358">
        <f>B18/$B$29</f>
        <v>0</v>
      </c>
      <c r="J18" s="22">
        <f>D18*H18</f>
        <v>0</v>
      </c>
    </row>
    <row r="19" spans="1:10" ht="12.75" customHeight="1">
      <c r="A19" s="82" t="s">
        <v>96</v>
      </c>
      <c r="B19" s="32">
        <f>'Table 3.20-CFS Non-CIOSS'!B71</f>
        <v>4284.267430090634</v>
      </c>
      <c r="C19" s="241" t="s">
        <v>244</v>
      </c>
      <c r="D19" s="488">
        <f>F19/B19</f>
        <v>0.01905192855230139</v>
      </c>
      <c r="E19" s="27"/>
      <c r="F19" s="113">
        <f>'Table 3.20-CFS Non-CIOSS'!H71</f>
        <v>81.62355697703865</v>
      </c>
      <c r="G19" s="241" t="s">
        <v>244</v>
      </c>
      <c r="H19" s="358">
        <f>B19/$B$29</f>
        <v>0.039926221726644964</v>
      </c>
      <c r="J19" s="22">
        <f>D19*H19</f>
        <v>0.0007606715236993833</v>
      </c>
    </row>
    <row r="20" spans="1:10" ht="12.75" customHeight="1">
      <c r="A20" s="100" t="s">
        <v>102</v>
      </c>
      <c r="B20" s="32">
        <f>B17</f>
        <v>4284.267430090634</v>
      </c>
      <c r="C20" s="27"/>
      <c r="D20" s="488">
        <f>F20/B20</f>
        <v>0.11184490218950005</v>
      </c>
      <c r="E20" s="27"/>
      <c r="F20" s="113">
        <f>SUM(F17:F19)</f>
        <v>479.1734716721477</v>
      </c>
      <c r="J20" s="22">
        <f>SUM(J17:J19)</f>
        <v>0.0044655443638128975</v>
      </c>
    </row>
    <row r="21" spans="1:10" ht="4.5" customHeight="1">
      <c r="A21" s="100"/>
      <c r="B21" s="324"/>
      <c r="C21" s="18"/>
      <c r="D21" s="18"/>
      <c r="E21" s="18"/>
      <c r="F21" s="113"/>
      <c r="G21" s="18"/>
      <c r="H21" s="142"/>
      <c r="I21" s="18"/>
      <c r="J21" s="18"/>
    </row>
    <row r="22" spans="1:10" ht="12.75" customHeight="1">
      <c r="A22" s="15" t="s">
        <v>633</v>
      </c>
      <c r="B22" s="324"/>
      <c r="C22" s="18"/>
      <c r="D22" s="18"/>
      <c r="E22" s="18"/>
      <c r="F22" s="113"/>
      <c r="G22" s="18"/>
      <c r="H22" s="142"/>
      <c r="I22" s="18"/>
      <c r="J22" s="18"/>
    </row>
    <row r="23" spans="1:10" ht="12.75" customHeight="1">
      <c r="A23" s="353" t="s">
        <v>320</v>
      </c>
      <c r="B23" s="6">
        <f>SUM(B8,B14,B20)</f>
        <v>107304.60446327447</v>
      </c>
      <c r="D23" s="488">
        <f>'Table 3.30-UAA MP Cost'!D32</f>
        <v>1.8152720117316354</v>
      </c>
      <c r="E23" s="12" t="s">
        <v>586</v>
      </c>
      <c r="F23" s="113">
        <f>B23*D23</f>
        <v>194787.04521211568</v>
      </c>
      <c r="G23" s="18"/>
      <c r="H23" s="358">
        <f>B23/$B$29</f>
        <v>1</v>
      </c>
      <c r="J23" s="22">
        <f>D23*H23</f>
        <v>1.8152720117316354</v>
      </c>
    </row>
    <row r="24" spans="1:10" ht="12.75">
      <c r="A24" s="353" t="s">
        <v>99</v>
      </c>
      <c r="B24" s="6">
        <f>'Table 3.35-PD Vols'!D14</f>
        <v>9436.485801506175</v>
      </c>
      <c r="C24" s="12" t="s">
        <v>582</v>
      </c>
      <c r="D24" s="83">
        <f>'Table 3.32-Accounting Post Due'!I13</f>
        <v>1.5421779878988264</v>
      </c>
      <c r="E24" s="12" t="s">
        <v>587</v>
      </c>
      <c r="F24" s="113">
        <f>B24*D24</f>
        <v>14552.740686202636</v>
      </c>
      <c r="G24" s="18"/>
      <c r="H24" s="358">
        <f>B24/$B$29</f>
        <v>0.0879411079208242</v>
      </c>
      <c r="J24" s="22">
        <f>D24*H24</f>
        <v>0.13562084086693021</v>
      </c>
    </row>
    <row r="25" spans="1:10" ht="12.75">
      <c r="A25" s="353" t="s">
        <v>100</v>
      </c>
      <c r="B25" s="6">
        <f>'Table 3.35-PD Vols'!D15</f>
        <v>6989.719531962929</v>
      </c>
      <c r="C25" s="12" t="s">
        <v>582</v>
      </c>
      <c r="D25" s="83">
        <f>'Table 3.33-Delivery Post Due'!I20</f>
        <v>0.8564071260303603</v>
      </c>
      <c r="E25" s="12" t="s">
        <v>590</v>
      </c>
      <c r="F25" s="113">
        <f>B25*D25</f>
        <v>5986.0456161266475</v>
      </c>
      <c r="G25" s="18"/>
      <c r="H25" s="358">
        <f>B25/$B$29</f>
        <v>0.06513904568144785</v>
      </c>
      <c r="J25" s="22">
        <f>D25*H25</f>
        <v>0.055785542904409104</v>
      </c>
    </row>
    <row r="26" spans="1:10" ht="12.75">
      <c r="A26" s="497" t="s">
        <v>210</v>
      </c>
      <c r="B26" s="6">
        <f>'Table 3.35-PD Vols'!D16</f>
        <v>1105.548471166263</v>
      </c>
      <c r="C26" s="12" t="s">
        <v>582</v>
      </c>
      <c r="D26" s="83">
        <f>'Table 3.34-Window Post Due'!I13</f>
        <v>0.46139087613808194</v>
      </c>
      <c r="E26" s="12" t="s">
        <v>591</v>
      </c>
      <c r="F26" s="113">
        <f>B26*D26</f>
        <v>510.0899777245191</v>
      </c>
      <c r="G26" s="18"/>
      <c r="H26" s="358">
        <f>B26/$B$29</f>
        <v>0.010302898712465244</v>
      </c>
      <c r="J26" s="22">
        <f>D26*H26</f>
        <v>0.004753663463706256</v>
      </c>
    </row>
    <row r="27" spans="1:10" ht="12.75">
      <c r="A27" s="100" t="s">
        <v>102</v>
      </c>
      <c r="B27" s="324">
        <f>B23</f>
        <v>107304.60446327447</v>
      </c>
      <c r="C27" s="18"/>
      <c r="D27" s="83">
        <f>F27/B27</f>
        <v>2.011432058966681</v>
      </c>
      <c r="E27" s="18"/>
      <c r="F27" s="175">
        <f>SUM(F23:F26)</f>
        <v>215835.92149216947</v>
      </c>
      <c r="G27" s="18"/>
      <c r="H27" s="142"/>
      <c r="I27" s="18"/>
      <c r="J27" s="552">
        <f>SUM(J23:J26)</f>
        <v>2.011432058966681</v>
      </c>
    </row>
    <row r="28" spans="1:10" ht="4.5" customHeight="1">
      <c r="A28" s="91"/>
      <c r="B28" s="324"/>
      <c r="C28" s="18"/>
      <c r="D28" s="83"/>
      <c r="E28" s="18"/>
      <c r="F28" s="175"/>
      <c r="G28" s="18"/>
      <c r="H28" s="142"/>
      <c r="I28" s="18"/>
      <c r="J28" s="18"/>
    </row>
    <row r="29" spans="1:10" ht="12.75">
      <c r="A29" s="91" t="s">
        <v>494</v>
      </c>
      <c r="B29" s="393">
        <f>SUM(B8,B14,B20)</f>
        <v>107304.60446327447</v>
      </c>
      <c r="C29" s="18"/>
      <c r="D29" s="488"/>
      <c r="E29" s="18"/>
      <c r="F29" s="510">
        <f>SUM(F8,F14,F20,F27)</f>
        <v>260280.8505851463</v>
      </c>
      <c r="G29" s="18"/>
      <c r="H29" s="142"/>
      <c r="I29" s="18"/>
      <c r="J29" s="413">
        <f>SUM(J8,J14,J20,J27)</f>
        <v>2.425626112570302</v>
      </c>
    </row>
    <row r="30" spans="1:10" ht="12.75" hidden="1">
      <c r="A30" s="91"/>
      <c r="B30" s="324"/>
      <c r="C30" s="18"/>
      <c r="D30" s="83"/>
      <c r="E30" s="18"/>
      <c r="F30" s="175"/>
      <c r="G30" s="18"/>
      <c r="H30" s="142"/>
      <c r="I30" s="18"/>
      <c r="J30" s="18"/>
    </row>
    <row r="31" spans="1:10" ht="12.75" hidden="1">
      <c r="A31" s="5"/>
      <c r="B31" s="240"/>
      <c r="F31" s="359"/>
      <c r="H31" s="6"/>
      <c r="J31" s="6"/>
    </row>
    <row r="32" spans="1:11" ht="12.75" hidden="1">
      <c r="A32" s="23" t="s">
        <v>191</v>
      </c>
      <c r="B32" s="240"/>
      <c r="D32" s="500"/>
      <c r="G32" s="482" t="s">
        <v>311</v>
      </c>
      <c r="H32" s="6">
        <f>SUM('Table 3.15-Route UAA NoPARS'!J99:J100,'Table 3.15-Route UAA NoPARS'!J107)</f>
        <v>10195.71900888828</v>
      </c>
      <c r="J32" s="6">
        <f>SUM(F5,F11,F17)</f>
        <v>10195.71900888828</v>
      </c>
      <c r="K32" s="143">
        <f aca="true" t="shared" si="0" ref="K32:K37">H32-J32</f>
        <v>0</v>
      </c>
    </row>
    <row r="33" spans="1:11" ht="12.75" hidden="1">
      <c r="A33" s="5"/>
      <c r="B33" s="240"/>
      <c r="G33" s="46" t="s">
        <v>312</v>
      </c>
      <c r="H33" s="6">
        <f>SUM('Table 3.18-Nixie UAA'!I16:I16,'Table 3.18-Nixie UAA'!I19,'Table 3.18-Nixie UAA'!I25:I25,'Table 3.18-Nixie UAA'!I28)+SUM('Table 3.31-Rating Post Due'!H13,'Table 3.31-Rating Post Due'!H25)</f>
        <v>23898.10450042162</v>
      </c>
      <c r="J33" s="6">
        <f>SUM(F6:F7,F18)</f>
        <v>23898.10450042162</v>
      </c>
      <c r="K33" s="143">
        <f t="shared" si="0"/>
        <v>0</v>
      </c>
    </row>
    <row r="34" spans="1:11" ht="12.75" hidden="1">
      <c r="A34" s="5"/>
      <c r="B34" s="240"/>
      <c r="G34" s="46" t="s">
        <v>313</v>
      </c>
      <c r="H34" s="6">
        <f>SUM('Table 3.20-CFS Non-CIOSS'!H14,'Table 3.20-CFS Non-CIOSS'!H50,'Table 3.20-CFS Non-CIOSS'!H61,'Table 3.20-CFS Non-CIOSS'!H71)</f>
        <v>10351.105583666938</v>
      </c>
      <c r="J34" s="6">
        <f>SUM(F12:F13,F19)</f>
        <v>10351.105583666938</v>
      </c>
      <c r="K34" s="143">
        <f t="shared" si="0"/>
        <v>0</v>
      </c>
    </row>
    <row r="35" spans="1:11" ht="12.75" hidden="1">
      <c r="A35" s="5"/>
      <c r="B35" s="240"/>
      <c r="G35" s="67" t="s">
        <v>518</v>
      </c>
      <c r="H35" s="32">
        <f>'Table 3.30-UAA MP Cost'!F32</f>
        <v>194787.04521211568</v>
      </c>
      <c r="J35" s="6">
        <f>F23</f>
        <v>194787.04521211568</v>
      </c>
      <c r="K35" s="143">
        <f t="shared" si="0"/>
        <v>0</v>
      </c>
    </row>
    <row r="36" spans="1:11" ht="12.75" hidden="1">
      <c r="A36" s="5"/>
      <c r="B36" s="240"/>
      <c r="G36" s="67" t="s">
        <v>315</v>
      </c>
      <c r="H36" s="32">
        <f>SUM(F24:F26)</f>
        <v>21048.876280053802</v>
      </c>
      <c r="I36" s="27"/>
      <c r="J36" s="32">
        <f>SUM(F24:F26)</f>
        <v>21048.876280053802</v>
      </c>
      <c r="K36" s="143">
        <f t="shared" si="0"/>
        <v>0</v>
      </c>
    </row>
    <row r="37" spans="1:11" ht="12.75" hidden="1">
      <c r="A37" s="5"/>
      <c r="B37" s="240"/>
      <c r="G37" s="46" t="s">
        <v>314</v>
      </c>
      <c r="H37" s="6">
        <f>SUM(H32:H36)</f>
        <v>260280.85058514634</v>
      </c>
      <c r="J37" s="6">
        <f>SUM(J32:J36)</f>
        <v>260280.85058514634</v>
      </c>
      <c r="K37" s="143">
        <f t="shared" si="0"/>
        <v>0</v>
      </c>
    </row>
    <row r="38" spans="1:8" ht="12.75">
      <c r="A38" s="283"/>
      <c r="B38" s="283"/>
      <c r="C38" s="283"/>
      <c r="D38" s="283"/>
      <c r="E38" s="283"/>
      <c r="F38" s="283"/>
      <c r="H38" s="240"/>
    </row>
    <row r="39" ht="12.75">
      <c r="A39" s="284" t="s">
        <v>235</v>
      </c>
    </row>
    <row r="40" spans="1:5" ht="12.75">
      <c r="A40" s="241" t="s">
        <v>634</v>
      </c>
      <c r="D40" s="12"/>
      <c r="E40" s="241" t="s">
        <v>639</v>
      </c>
    </row>
    <row r="41" spans="1:5" ht="12.75">
      <c r="A41" s="241" t="s">
        <v>635</v>
      </c>
      <c r="D41" s="12"/>
      <c r="E41" s="241" t="s">
        <v>602</v>
      </c>
    </row>
    <row r="42" spans="1:5" ht="12.75">
      <c r="A42" s="241" t="s">
        <v>35</v>
      </c>
      <c r="D42" s="12"/>
      <c r="E42" s="241" t="s">
        <v>686</v>
      </c>
    </row>
    <row r="43" spans="1:5" ht="12.75">
      <c r="A43" s="241" t="s">
        <v>636</v>
      </c>
      <c r="E43" s="241" t="s">
        <v>687</v>
      </c>
    </row>
    <row r="44" spans="1:5" ht="12.75">
      <c r="A44" s="241" t="s">
        <v>637</v>
      </c>
      <c r="E44" s="241" t="s">
        <v>688</v>
      </c>
    </row>
    <row r="45" spans="1:5" ht="12.75">
      <c r="A45" s="241" t="s">
        <v>45</v>
      </c>
      <c r="E45" s="241" t="s">
        <v>689</v>
      </c>
    </row>
    <row r="46" ht="12.75">
      <c r="A46" s="241" t="s">
        <v>696</v>
      </c>
    </row>
  </sheetData>
  <sheetProtection/>
  <printOptions horizontalCentered="1"/>
  <pageMargins left="0.75" right="0.75" top="1" bottom="1" header="0.5" footer="0.5"/>
  <pageSetup fitToHeight="1" fitToWidth="1" horizontalDpi="600" verticalDpi="600" orientation="landscape" r:id="rId3"/>
  <headerFooter alignWithMargins="0">
    <oddFooter>&amp;L&amp;F</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K30"/>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75">
      <c r="A1" s="157" t="s">
        <v>551</v>
      </c>
      <c r="B1" s="19"/>
      <c r="C1" s="19"/>
      <c r="D1" s="19"/>
      <c r="E1" s="19"/>
      <c r="F1" s="19"/>
      <c r="G1" s="19"/>
      <c r="H1" s="19"/>
      <c r="I1" s="19"/>
      <c r="J1" s="19"/>
    </row>
    <row r="2" spans="1:10" s="13" customFormat="1" ht="15.75">
      <c r="A2" s="158" t="s">
        <v>787</v>
      </c>
      <c r="B2" s="19"/>
      <c r="C2" s="19"/>
      <c r="D2" s="19"/>
      <c r="E2" s="19"/>
      <c r="F2" s="19"/>
      <c r="G2" s="19"/>
      <c r="H2" s="19"/>
      <c r="I2" s="19"/>
      <c r="J2" s="19"/>
    </row>
    <row r="3" spans="2:10" ht="25.5">
      <c r="B3" s="168" t="s">
        <v>109</v>
      </c>
      <c r="C3" s="168"/>
      <c r="D3" s="169" t="s">
        <v>104</v>
      </c>
      <c r="E3" s="169"/>
      <c r="F3" s="168" t="s">
        <v>110</v>
      </c>
      <c r="G3" s="168"/>
      <c r="H3" s="170" t="s">
        <v>97</v>
      </c>
      <c r="I3" s="170"/>
      <c r="J3" s="171" t="s">
        <v>105</v>
      </c>
    </row>
    <row r="4" spans="1:11" ht="12.75">
      <c r="A4" s="333"/>
      <c r="B4" s="27"/>
      <c r="C4" s="27"/>
      <c r="D4" s="27"/>
      <c r="E4" s="151"/>
      <c r="F4" s="485"/>
      <c r="G4" s="151"/>
      <c r="H4" s="486"/>
      <c r="I4" s="151"/>
      <c r="J4" s="151"/>
      <c r="K4" s="27"/>
    </row>
    <row r="5" spans="1:11" ht="12.75">
      <c r="A5" s="493" t="s">
        <v>574</v>
      </c>
      <c r="B5" s="484"/>
      <c r="C5" s="27"/>
      <c r="D5" s="27"/>
      <c r="E5" s="27"/>
      <c r="F5" s="27"/>
      <c r="G5" s="67"/>
      <c r="H5" s="32"/>
      <c r="I5" s="27"/>
      <c r="J5" s="32"/>
      <c r="K5" s="240"/>
    </row>
    <row r="6" spans="1:11" ht="12.75">
      <c r="A6" s="353" t="s">
        <v>491</v>
      </c>
      <c r="B6" s="492">
        <f>'Table 3.9-PARS Wst Summary'!B10</f>
        <v>592552.0164599075</v>
      </c>
      <c r="C6" s="27"/>
      <c r="D6" s="121">
        <f aca="true" t="shared" si="0" ref="D6:D11">F6/B6</f>
        <v>0.07951927306777812</v>
      </c>
      <c r="E6" s="27"/>
      <c r="F6" s="175">
        <f>'Table 3.9-PARS Wst Summary'!F10</f>
        <v>47119.30560373794</v>
      </c>
      <c r="G6" s="27"/>
      <c r="H6" s="134">
        <f aca="true" t="shared" si="1" ref="H6:H11">B6/$B$19</f>
        <v>0.14707867789128679</v>
      </c>
      <c r="I6" s="27"/>
      <c r="J6" s="121">
        <f>D6*H6</f>
        <v>0.011695589549685014</v>
      </c>
      <c r="K6" s="27"/>
    </row>
    <row r="7" spans="1:11" ht="12.75">
      <c r="A7" s="353" t="s">
        <v>492</v>
      </c>
      <c r="B7" s="492">
        <f>'Table 3.9-PARS Wst Summary'!B18</f>
        <v>57911.26391813522</v>
      </c>
      <c r="C7" s="27"/>
      <c r="D7" s="121">
        <f t="shared" si="0"/>
        <v>0.07096691060639657</v>
      </c>
      <c r="E7" s="27"/>
      <c r="F7" s="175">
        <f>'Table 3.9-PARS Wst Summary'!F18</f>
        <v>4109.783489581741</v>
      </c>
      <c r="G7" s="27"/>
      <c r="H7" s="134">
        <f t="shared" si="1"/>
        <v>0.01437428596223334</v>
      </c>
      <c r="I7" s="27"/>
      <c r="J7" s="121">
        <f>D7*H7</f>
        <v>0.0010200986669125945</v>
      </c>
      <c r="K7" s="27"/>
    </row>
    <row r="8" spans="1:10" ht="12.75">
      <c r="A8" s="353" t="s">
        <v>493</v>
      </c>
      <c r="B8" s="492">
        <f>'Table 3.9-PARS Wst Summary'!B28</f>
        <v>31182.98826361127</v>
      </c>
      <c r="D8" s="121">
        <f t="shared" si="0"/>
        <v>0.13294594999175383</v>
      </c>
      <c r="F8" s="175">
        <f>'Table 3.9-PARS Wst Summary'!F28</f>
        <v>4145.651998287511</v>
      </c>
      <c r="H8" s="134">
        <f t="shared" si="1"/>
        <v>0.00774000013351026</v>
      </c>
      <c r="J8" s="121">
        <f>D8*H8</f>
        <v>0.001029001670685823</v>
      </c>
    </row>
    <row r="9" spans="1:10" ht="12.75">
      <c r="A9" s="353" t="s">
        <v>501</v>
      </c>
      <c r="B9" s="492">
        <f>'Table 3.9-PARS Wst Summary'!B36</f>
        <v>11830.342979425972</v>
      </c>
      <c r="D9" s="121">
        <f t="shared" si="0"/>
        <v>0.06397479978632495</v>
      </c>
      <c r="F9" s="175">
        <f>'Table 3.9-PARS Wst Summary'!F36</f>
        <v>756.8438235123316</v>
      </c>
      <c r="H9" s="134">
        <f t="shared" si="1"/>
        <v>0.0029364362217678274</v>
      </c>
      <c r="J9" s="121">
        <f>D9*H9</f>
        <v>0.00018785791937290925</v>
      </c>
    </row>
    <row r="10" spans="1:10" ht="12.75">
      <c r="A10" s="353" t="s">
        <v>500</v>
      </c>
      <c r="B10" s="6">
        <f>'Table 3.9-PARS Wst Summary'!B46</f>
        <v>170176.26437892002</v>
      </c>
      <c r="D10" s="121">
        <f t="shared" si="0"/>
        <v>0.11671031082044513</v>
      </c>
      <c r="F10" s="175">
        <f>'Table 3.9-PARS Wst Summary'!F46</f>
        <v>19861.324709926</v>
      </c>
      <c r="H10" s="134">
        <f t="shared" si="1"/>
        <v>0.042239835960499406</v>
      </c>
      <c r="J10" s="121">
        <f>D10*H10</f>
        <v>0.004929824383954501</v>
      </c>
    </row>
    <row r="11" spans="1:10" ht="12.75">
      <c r="A11" s="353" t="s">
        <v>102</v>
      </c>
      <c r="B11" s="6">
        <f>SUM(B6:B10)</f>
        <v>863652.8759999999</v>
      </c>
      <c r="D11" s="121">
        <f t="shared" si="0"/>
        <v>0.08799010775834612</v>
      </c>
      <c r="F11" s="175">
        <f>SUM(F6:F10)</f>
        <v>75992.90962504553</v>
      </c>
      <c r="H11" s="134">
        <f t="shared" si="1"/>
        <v>0.2143692361692976</v>
      </c>
      <c r="J11" s="121">
        <f>SUM(J6:J10)</f>
        <v>0.018862372190610842</v>
      </c>
    </row>
    <row r="12" spans="1:8" ht="12.75">
      <c r="A12" s="241"/>
      <c r="D12" s="12"/>
      <c r="F12" s="175"/>
      <c r="H12" s="358"/>
    </row>
    <row r="13" spans="1:8" ht="12.75">
      <c r="A13" s="333" t="s">
        <v>479</v>
      </c>
      <c r="D13" s="12"/>
      <c r="F13" s="175"/>
      <c r="H13" s="358"/>
    </row>
    <row r="14" spans="1:10" ht="12.75">
      <c r="A14" s="353" t="s">
        <v>496</v>
      </c>
      <c r="B14" s="6">
        <f>'Table 3.10-NonPARS Wst Summary'!B7</f>
        <v>3050551.3220238783</v>
      </c>
      <c r="D14" s="121">
        <f>F14/B14</f>
        <v>0.049490223831584065</v>
      </c>
      <c r="F14" s="175">
        <f>'Table 3.10-NonPARS Wst Summary'!F7</f>
        <v>150972.46773669642</v>
      </c>
      <c r="H14" s="134">
        <f>B14/$B$19</f>
        <v>0.7571842518793394</v>
      </c>
      <c r="J14" s="121">
        <f>D14*H14</f>
        <v>0.03747321810725903</v>
      </c>
    </row>
    <row r="15" spans="1:10" ht="12.75">
      <c r="A15" s="353" t="s">
        <v>497</v>
      </c>
      <c r="B15" s="6">
        <f>'Table 3.10-NonPARS Wst Summary'!B12</f>
        <v>54898.51586879448</v>
      </c>
      <c r="D15" s="121">
        <f>F15/B15</f>
        <v>0.31725487532172336</v>
      </c>
      <c r="F15" s="175">
        <f>'Table 3.10-NonPARS Wst Summary'!F12</f>
        <v>17416.821807302043</v>
      </c>
      <c r="H15" s="134">
        <f>B15/$B$19</f>
        <v>0.013626484946275493</v>
      </c>
      <c r="J15" s="121">
        <f>D15*H15</f>
        <v>0.004323068782703972</v>
      </c>
    </row>
    <row r="16" spans="1:10" ht="12.75">
      <c r="A16" s="353" t="s">
        <v>498</v>
      </c>
      <c r="B16" s="6">
        <f>'Table 3.10-NonPARS Wst Summary'!B18</f>
        <v>59707.0697925764</v>
      </c>
      <c r="D16" s="121">
        <f>F16/B16</f>
        <v>0.15342038807544744</v>
      </c>
      <c r="F16" s="175">
        <f>'Table 3.10-NonPARS Wst Summary'!F18</f>
        <v>9160.281818424897</v>
      </c>
      <c r="H16" s="134">
        <f>B16/$B$19</f>
        <v>0.014820027005087569</v>
      </c>
      <c r="J16" s="121">
        <f>D16*H16</f>
        <v>0.002273694294409146</v>
      </c>
    </row>
    <row r="17" spans="1:10" ht="12.75">
      <c r="A17" s="353" t="s">
        <v>102</v>
      </c>
      <c r="B17" s="6">
        <f>SUM(B14:B16)</f>
        <v>3165156.9076852496</v>
      </c>
      <c r="D17" s="121">
        <f>F17/B17</f>
        <v>0.05609502989609111</v>
      </c>
      <c r="F17" s="175">
        <f>SUM(F14:F16)</f>
        <v>177549.57136242336</v>
      </c>
      <c r="H17" s="134">
        <f>B17/$B$19</f>
        <v>0.7856307638307025</v>
      </c>
      <c r="J17" s="121">
        <f>SUM(J14:J16)</f>
        <v>0.04406998118437215</v>
      </c>
    </row>
    <row r="18" ht="12.75">
      <c r="F18" s="175"/>
    </row>
    <row r="19" spans="1:10" ht="12.75">
      <c r="A19" s="480" t="s">
        <v>269</v>
      </c>
      <c r="B19" s="356">
        <f>SUM(B11,B17)</f>
        <v>4028809.7836852493</v>
      </c>
      <c r="C19" s="16"/>
      <c r="D19" s="16"/>
      <c r="E19" s="16"/>
      <c r="F19" s="510">
        <f>SUM(F11,F17)</f>
        <v>253542.4809874689</v>
      </c>
      <c r="G19" s="16"/>
      <c r="H19" s="509"/>
      <c r="I19" s="16"/>
      <c r="J19" s="354">
        <f>SUM(J11,J17)</f>
        <v>0.06293235337498299</v>
      </c>
    </row>
    <row r="21" spans="1:11" ht="12.75" hidden="1">
      <c r="A21" s="14" t="s">
        <v>191</v>
      </c>
      <c r="B21" s="143">
        <v>0</v>
      </c>
      <c r="G21" s="482" t="s">
        <v>311</v>
      </c>
      <c r="H21" s="6">
        <f>SUM('Table 3.14-Route UAA'!J101,'Table 3.14-Route UAA'!J108,'Table 3.14-Route UAA'!J111)</f>
        <v>123251.76045260088</v>
      </c>
      <c r="J21" s="6">
        <f>'Table 3.9-PARS Wst Summary'!J50+'Table 3.10-NonPARS Wst Summary'!J22</f>
        <v>123251.76045260087</v>
      </c>
      <c r="K21" s="143">
        <f aca="true" t="shared" si="2" ref="K21:K26">H21-J21</f>
        <v>0</v>
      </c>
    </row>
    <row r="22" spans="2:11" ht="12.75" hidden="1">
      <c r="B22" s="143">
        <v>0</v>
      </c>
      <c r="G22" s="46" t="s">
        <v>312</v>
      </c>
      <c r="H22" s="6">
        <f>SUM('Table 3.18-Nixie UAA'!I8,'Table 3.18-Nixie UAA'!I11,'Table 3.18-Nixie UAA'!I20,'Table 3.18-Nixie UAA'!I29,'Table 3.18-Nixie UAA'!I35,'Table 3.18-Nixie UAA'!I37)</f>
        <v>55583.03023540633</v>
      </c>
      <c r="J22" s="6">
        <f>'Table 3.9-PARS Wst Summary'!J51+'Table 3.10-NonPARS Wst Summary'!J23</f>
        <v>55583.03023540633</v>
      </c>
      <c r="K22" s="143">
        <f t="shared" si="2"/>
        <v>0</v>
      </c>
    </row>
    <row r="23" spans="2:11" ht="12.75" hidden="1">
      <c r="B23" s="143">
        <v>0</v>
      </c>
      <c r="G23" s="46" t="s">
        <v>313</v>
      </c>
      <c r="H23" s="6">
        <f>SUM('Table 3.20-CFS Non-CIOSS'!H19,'Table 3.20-CFS Non-CIOSS'!H76,'Table 3.21-CFS CIOSS Rejs'!H19,'Table 3.21-CFS CIOSS Rejs'!H76)</f>
        <v>14609.239622408702</v>
      </c>
      <c r="J23" s="6">
        <f>'Table 3.9-PARS Wst Summary'!J52+'Table 3.10-NonPARS Wst Summary'!J24</f>
        <v>14609.239622408702</v>
      </c>
      <c r="K23" s="143">
        <f t="shared" si="2"/>
        <v>0</v>
      </c>
    </row>
    <row r="24" spans="2:11" ht="12.75" hidden="1">
      <c r="B24" s="240"/>
      <c r="G24" s="483" t="s">
        <v>502</v>
      </c>
      <c r="H24" s="6">
        <f>SUM('Table 3.23-CIOSS Summary'!I6,'Table 3.23-CIOSS Summary'!I10,'Table 3.23-CIOSS Summary'!I13)</f>
        <v>36733.141402422385</v>
      </c>
      <c r="J24" s="6">
        <f>'Table 3.9-PARS Wst Summary'!J53</f>
        <v>36733.14140242238</v>
      </c>
      <c r="K24" s="143">
        <f t="shared" si="2"/>
        <v>0</v>
      </c>
    </row>
    <row r="25" spans="2:11" ht="12.75" hidden="1">
      <c r="B25" s="240"/>
      <c r="G25" s="483" t="s">
        <v>503</v>
      </c>
      <c r="H25" s="6">
        <f>SUM('Table 3.25-REC Summary'!K6,'Table 3.25-REC Summary'!K10,'Table 3.25-REC Summary'!K13)</f>
        <v>23365.3092746306</v>
      </c>
      <c r="J25" s="6">
        <f>'Table 3.9-PARS Wst Summary'!J54</f>
        <v>23365.309274630596</v>
      </c>
      <c r="K25" s="143">
        <f t="shared" si="2"/>
        <v>0</v>
      </c>
    </row>
    <row r="26" spans="2:11" ht="12.75" hidden="1">
      <c r="B26" s="240"/>
      <c r="G26" s="46" t="s">
        <v>314</v>
      </c>
      <c r="H26" s="6">
        <f>SUM(H21:H25)</f>
        <v>253542.48098746888</v>
      </c>
      <c r="J26" s="6">
        <f>SUM(J21:J25)</f>
        <v>253542.48098746888</v>
      </c>
      <c r="K26" s="143">
        <f t="shared" si="2"/>
        <v>0</v>
      </c>
    </row>
    <row r="27" spans="1:6" ht="12.75">
      <c r="A27" s="283"/>
      <c r="B27" s="283"/>
      <c r="C27" s="283"/>
      <c r="D27" s="283"/>
      <c r="E27" s="283"/>
      <c r="F27" s="283"/>
    </row>
    <row r="28" ht="12.75">
      <c r="A28" s="284" t="s">
        <v>235</v>
      </c>
    </row>
    <row r="29" spans="1:4" ht="12.75">
      <c r="A29" s="241" t="s">
        <v>640</v>
      </c>
      <c r="D29" s="12"/>
    </row>
    <row r="30" ht="12.75">
      <c r="A30" s="241" t="s">
        <v>641</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Christensen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jdreaser</dc:creator>
  <cp:keywords/>
  <dc:description/>
  <cp:lastModifiedBy>Sam Cutting</cp:lastModifiedBy>
  <cp:lastPrinted>2006-04-11T13:06:23Z</cp:lastPrinted>
  <dcterms:created xsi:type="dcterms:W3CDTF">2004-11-02T16:13:05Z</dcterms:created>
  <dcterms:modified xsi:type="dcterms:W3CDTF">2015-12-15T18:33:17Z</dcterms:modified>
  <cp:category/>
  <cp:version/>
  <cp:contentType/>
  <cp:contentStatus/>
</cp:coreProperties>
</file>